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 tabRatio="802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AVAILABILITY'!$A$17:$J$1149</definedName>
    <definedName name="_xlnm.Print_Area" localSheetId="2">'RAP-HEAVY &amp; LIGHT OIL &amp; WTI'!$A$17:$I$1149</definedName>
    <definedName name="_xlnm.Print_Area" localSheetId="0">'RAP-NATURAL GAS PRICES'!$A$17:$S$1149</definedName>
    <definedName name="_xlnm.Print_Area" localSheetId="3">'RAP-SOLID FUEL PRICES'!$A$17:$K$1149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B1049" i="4"/>
  <c r="C1049" i="4"/>
  <c r="D1049" i="4"/>
  <c r="E1049" i="4"/>
  <c r="F1049" i="4"/>
  <c r="G1049" i="4"/>
  <c r="H1049" i="4"/>
  <c r="I1049" i="4"/>
  <c r="J1049" i="4"/>
  <c r="K1049" i="4"/>
  <c r="B1050" i="4"/>
  <c r="C1050" i="4"/>
  <c r="D1050" i="4"/>
  <c r="E1050" i="4"/>
  <c r="F1050" i="4"/>
  <c r="G1050" i="4"/>
  <c r="H1050" i="4"/>
  <c r="I1050" i="4"/>
  <c r="J1050" i="4"/>
  <c r="K1050" i="4"/>
  <c r="B1051" i="4"/>
  <c r="C1051" i="4"/>
  <c r="D1051" i="4"/>
  <c r="E1051" i="4"/>
  <c r="F1051" i="4"/>
  <c r="G1051" i="4"/>
  <c r="H1051" i="4"/>
  <c r="I1051" i="4"/>
  <c r="J1051" i="4"/>
  <c r="K1051" i="4"/>
  <c r="B1052" i="4"/>
  <c r="C1052" i="4"/>
  <c r="D1052" i="4"/>
  <c r="E1052" i="4"/>
  <c r="F1052" i="4"/>
  <c r="G1052" i="4"/>
  <c r="H1052" i="4"/>
  <c r="I1052" i="4"/>
  <c r="J1052" i="4"/>
  <c r="K1052" i="4"/>
  <c r="B1053" i="4"/>
  <c r="C1053" i="4"/>
  <c r="D1053" i="4"/>
  <c r="E1053" i="4"/>
  <c r="F1053" i="4"/>
  <c r="G1053" i="4"/>
  <c r="H1053" i="4"/>
  <c r="I1053" i="4"/>
  <c r="J1053" i="4"/>
  <c r="K1053" i="4"/>
  <c r="B1054" i="4"/>
  <c r="C1054" i="4"/>
  <c r="D1054" i="4"/>
  <c r="E1054" i="4"/>
  <c r="F1054" i="4"/>
  <c r="G1054" i="4"/>
  <c r="H1054" i="4"/>
  <c r="I1054" i="4"/>
  <c r="J1054" i="4"/>
  <c r="K1054" i="4"/>
  <c r="B1055" i="4"/>
  <c r="C1055" i="4"/>
  <c r="D1055" i="4"/>
  <c r="E1055" i="4"/>
  <c r="F1055" i="4"/>
  <c r="G1055" i="4"/>
  <c r="H1055" i="4"/>
  <c r="I1055" i="4"/>
  <c r="J1055" i="4"/>
  <c r="K1055" i="4"/>
  <c r="B1056" i="4"/>
  <c r="C1056" i="4"/>
  <c r="D1056" i="4"/>
  <c r="E1056" i="4"/>
  <c r="F1056" i="4"/>
  <c r="G1056" i="4"/>
  <c r="H1056" i="4"/>
  <c r="I1056" i="4"/>
  <c r="J1056" i="4"/>
  <c r="K1056" i="4"/>
  <c r="B1057" i="4"/>
  <c r="C1057" i="4"/>
  <c r="D1057" i="4"/>
  <c r="E1057" i="4"/>
  <c r="F1057" i="4"/>
  <c r="G1057" i="4"/>
  <c r="H1057" i="4"/>
  <c r="I1057" i="4"/>
  <c r="J1057" i="4"/>
  <c r="K1057" i="4"/>
  <c r="B1058" i="4"/>
  <c r="C1058" i="4"/>
  <c r="D1058" i="4"/>
  <c r="E1058" i="4"/>
  <c r="F1058" i="4"/>
  <c r="G1058" i="4"/>
  <c r="H1058" i="4"/>
  <c r="I1058" i="4"/>
  <c r="J1058" i="4"/>
  <c r="K1058" i="4"/>
  <c r="B1059" i="4"/>
  <c r="C1059" i="4"/>
  <c r="D1059" i="4"/>
  <c r="E1059" i="4"/>
  <c r="F1059" i="4"/>
  <c r="G1059" i="4"/>
  <c r="H1059" i="4"/>
  <c r="I1059" i="4"/>
  <c r="J1059" i="4"/>
  <c r="K1059" i="4"/>
  <c r="B1060" i="4"/>
  <c r="C1060" i="4"/>
  <c r="D1060" i="4"/>
  <c r="E1060" i="4"/>
  <c r="F1060" i="4"/>
  <c r="G1060" i="4"/>
  <c r="H1060" i="4"/>
  <c r="I1060" i="4"/>
  <c r="J1060" i="4"/>
  <c r="K1060" i="4"/>
  <c r="C13" i="3"/>
  <c r="E13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2" i="3"/>
  <c r="C1062" i="3"/>
  <c r="B1063" i="3"/>
  <c r="C1063" i="3"/>
  <c r="D1063" i="3"/>
  <c r="E1063" i="3"/>
  <c r="B1064" i="3"/>
  <c r="C1064" i="3"/>
  <c r="B1065" i="3"/>
  <c r="C1065" i="3"/>
  <c r="E1065" i="3"/>
  <c r="B1066" i="3"/>
  <c r="C1066" i="3"/>
  <c r="B1067" i="3"/>
  <c r="C1067" i="3"/>
  <c r="E1067" i="3"/>
  <c r="B1068" i="3"/>
  <c r="C1068" i="3"/>
  <c r="B1069" i="3"/>
  <c r="C1069" i="3"/>
  <c r="E1069" i="3"/>
  <c r="B1070" i="3"/>
  <c r="C1070" i="3"/>
  <c r="B1071" i="3"/>
  <c r="C1071" i="3"/>
  <c r="E1071" i="3"/>
  <c r="B1072" i="3"/>
  <c r="C1072" i="3"/>
  <c r="B1073" i="3"/>
  <c r="C1073" i="3"/>
  <c r="E1073" i="3"/>
  <c r="B1074" i="3"/>
  <c r="C1074" i="3"/>
  <c r="B1075" i="3"/>
  <c r="C1075" i="3"/>
  <c r="E1075" i="3"/>
  <c r="B1076" i="3"/>
  <c r="C1076" i="3"/>
  <c r="B1077" i="3"/>
  <c r="C1077" i="3"/>
  <c r="E1077" i="3"/>
  <c r="B1078" i="3"/>
  <c r="C1078" i="3"/>
  <c r="B1079" i="3"/>
  <c r="C1079" i="3"/>
  <c r="E1079" i="3"/>
  <c r="B1080" i="3"/>
  <c r="C1080" i="3"/>
  <c r="B1081" i="3"/>
  <c r="C1081" i="3"/>
  <c r="E1081" i="3"/>
  <c r="B1082" i="3"/>
  <c r="C1082" i="3"/>
  <c r="B1083" i="3"/>
  <c r="C1083" i="3"/>
  <c r="E1083" i="3"/>
  <c r="B1084" i="3"/>
  <c r="C1084" i="3"/>
  <c r="B1085" i="3"/>
  <c r="C1085" i="3"/>
  <c r="E1085" i="3"/>
  <c r="A1086" i="3"/>
  <c r="B1086" i="3"/>
  <c r="A1087" i="3"/>
  <c r="A1088" i="3" s="1"/>
  <c r="A1089" i="3" s="1"/>
  <c r="A1090" i="3" s="1"/>
  <c r="B1087" i="3"/>
  <c r="C1087" i="3"/>
  <c r="E1087" i="3"/>
  <c r="B1088" i="3"/>
  <c r="B1089" i="3"/>
  <c r="C1089" i="3"/>
  <c r="B1090" i="3"/>
  <c r="C1090" i="3"/>
  <c r="A1091" i="3"/>
  <c r="A1092" i="3" s="1"/>
  <c r="A1093" i="3" s="1"/>
  <c r="A1094" i="3" s="1"/>
  <c r="A1095" i="3" s="1"/>
  <c r="A1096" i="3" s="1"/>
  <c r="B1091" i="3"/>
  <c r="E1091" i="3"/>
  <c r="B1092" i="3"/>
  <c r="B1093" i="3"/>
  <c r="C1093" i="3"/>
  <c r="B1094" i="3"/>
  <c r="B1095" i="3"/>
  <c r="C1095" i="3"/>
  <c r="B1096" i="3"/>
  <c r="A1097" i="3"/>
  <c r="A1098" i="3" s="1"/>
  <c r="A1099" i="3" s="1"/>
  <c r="A1100" i="3" s="1"/>
  <c r="A1101" i="3" s="1"/>
  <c r="A1102" i="3" s="1"/>
  <c r="A1103" i="3" s="1"/>
  <c r="A1104" i="3" s="1"/>
  <c r="B1097" i="3"/>
  <c r="C1097" i="3"/>
  <c r="B1098" i="3"/>
  <c r="C1098" i="3"/>
  <c r="B1099" i="3"/>
  <c r="E1099" i="3"/>
  <c r="B1100" i="3"/>
  <c r="D1100" i="3"/>
  <c r="B1101" i="3"/>
  <c r="B1102" i="3"/>
  <c r="B1103" i="3"/>
  <c r="C1103" i="3"/>
  <c r="E1103" i="3"/>
  <c r="B1104" i="3"/>
  <c r="E1104" i="3"/>
  <c r="A1105" i="3"/>
  <c r="A1106" i="3" s="1"/>
  <c r="A1107" i="3" s="1"/>
  <c r="B1105" i="3"/>
  <c r="C1105" i="3"/>
  <c r="B1106" i="3"/>
  <c r="C1106" i="3"/>
  <c r="B1107" i="3"/>
  <c r="D1107" i="3"/>
  <c r="E1107" i="3"/>
  <c r="A1108" i="3"/>
  <c r="A1109" i="3" s="1"/>
  <c r="A1110" i="3" s="1"/>
  <c r="B1108" i="3"/>
  <c r="B1109" i="3"/>
  <c r="E1109" i="3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2" i="2"/>
  <c r="C1062" i="2"/>
  <c r="D1062" i="2"/>
  <c r="E1062" i="2"/>
  <c r="F1062" i="2"/>
  <c r="G1062" i="2"/>
  <c r="I1062" i="2"/>
  <c r="J1062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A1086" i="2"/>
  <c r="B1086" i="2"/>
  <c r="C1086" i="2"/>
  <c r="D1086" i="2"/>
  <c r="E1086" i="2"/>
  <c r="F1086" i="2"/>
  <c r="G1086" i="2"/>
  <c r="H1086" i="2"/>
  <c r="I1086" i="2"/>
  <c r="J1086" i="2"/>
  <c r="A1087" i="2"/>
  <c r="B1087" i="2" s="1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D11" i="1"/>
  <c r="F1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K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B1060" i="1"/>
  <c r="C1060" i="1"/>
  <c r="D1060" i="1"/>
  <c r="E1060" i="1"/>
  <c r="F1060" i="1"/>
  <c r="G1060" i="1"/>
  <c r="H1060" i="1"/>
  <c r="I1060" i="1"/>
  <c r="J1060" i="1"/>
  <c r="L1062" i="1"/>
  <c r="M1062" i="1"/>
  <c r="N1062" i="1"/>
  <c r="O1062" i="1"/>
  <c r="P1062" i="1"/>
  <c r="S1062" i="1"/>
  <c r="L1063" i="1"/>
  <c r="M1063" i="1"/>
  <c r="N1063" i="1"/>
  <c r="O1063" i="1"/>
  <c r="P1063" i="1"/>
  <c r="S1063" i="1"/>
  <c r="L1064" i="1"/>
  <c r="M1064" i="1"/>
  <c r="N1064" i="1"/>
  <c r="O1064" i="1"/>
  <c r="P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A1086" i="1"/>
  <c r="L1086" i="1"/>
  <c r="M1086" i="1"/>
  <c r="N1086" i="1"/>
  <c r="O1086" i="1"/>
  <c r="P1086" i="1"/>
  <c r="Q1086" i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L1087" i="1"/>
  <c r="M1087" i="1"/>
  <c r="N1087" i="1"/>
  <c r="O1087" i="1"/>
  <c r="P1087" i="1"/>
  <c r="Q1087" i="1"/>
  <c r="L1088" i="1"/>
  <c r="M1088" i="1"/>
  <c r="N1088" i="1"/>
  <c r="O1088" i="1"/>
  <c r="P1088" i="1"/>
  <c r="Q1088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L1097" i="1"/>
  <c r="M1097" i="1"/>
  <c r="N1097" i="1"/>
  <c r="O1097" i="1"/>
  <c r="P1097" i="1"/>
  <c r="Q1097" i="1"/>
  <c r="L1098" i="1"/>
  <c r="M1098" i="1"/>
  <c r="N1098" i="1"/>
  <c r="O1098" i="1"/>
  <c r="P1098" i="1"/>
  <c r="Q1098" i="1"/>
  <c r="L1099" i="1"/>
  <c r="M1099" i="1"/>
  <c r="N1099" i="1"/>
  <c r="O1099" i="1"/>
  <c r="P1099" i="1"/>
  <c r="Q1099" i="1"/>
  <c r="L1100" i="1"/>
  <c r="M1100" i="1"/>
  <c r="N1100" i="1"/>
  <c r="O1100" i="1"/>
  <c r="P1100" i="1"/>
  <c r="Q1100" i="1"/>
  <c r="L1101" i="1"/>
  <c r="M1101" i="1"/>
  <c r="N1101" i="1"/>
  <c r="O1101" i="1"/>
  <c r="P1101" i="1"/>
  <c r="Q1101" i="1"/>
  <c r="L1102" i="1"/>
  <c r="M1102" i="1"/>
  <c r="N1102" i="1"/>
  <c r="O1102" i="1"/>
  <c r="P1102" i="1"/>
  <c r="Q1102" i="1"/>
  <c r="L1103" i="1"/>
  <c r="M1103" i="1"/>
  <c r="N1103" i="1"/>
  <c r="O1103" i="1"/>
  <c r="P1103" i="1"/>
  <c r="Q1103" i="1"/>
  <c r="L1104" i="1"/>
  <c r="M1104" i="1"/>
  <c r="N1104" i="1"/>
  <c r="O1104" i="1"/>
  <c r="P1104" i="1"/>
  <c r="Q1104" i="1"/>
  <c r="L1105" i="1"/>
  <c r="M1105" i="1"/>
  <c r="N1105" i="1"/>
  <c r="O1105" i="1"/>
  <c r="P1105" i="1"/>
  <c r="Q1105" i="1"/>
  <c r="L1106" i="1"/>
  <c r="M1106" i="1"/>
  <c r="N1106" i="1"/>
  <c r="O1106" i="1"/>
  <c r="P1106" i="1"/>
  <c r="Q1106" i="1"/>
  <c r="L1107" i="1"/>
  <c r="M1107" i="1"/>
  <c r="N1107" i="1"/>
  <c r="O1107" i="1"/>
  <c r="P1107" i="1"/>
  <c r="Q1107" i="1"/>
  <c r="L1108" i="1"/>
  <c r="M1108" i="1"/>
  <c r="N1108" i="1"/>
  <c r="O1108" i="1"/>
  <c r="P1108" i="1"/>
  <c r="Q1108" i="1"/>
  <c r="L1109" i="1"/>
  <c r="M1109" i="1"/>
  <c r="N1109" i="1"/>
  <c r="O1109" i="1"/>
  <c r="P1109" i="1"/>
  <c r="Q1109" i="1"/>
  <c r="E1095" i="3" l="1"/>
  <c r="D1085" i="3"/>
  <c r="D1079" i="3"/>
  <c r="C1064" i="1"/>
  <c r="C1109" i="3"/>
  <c r="C1104" i="3"/>
  <c r="C1101" i="3"/>
  <c r="E1110" i="4"/>
  <c r="R1062" i="1"/>
  <c r="H1142" i="4"/>
  <c r="B1075" i="4"/>
  <c r="G1109" i="1"/>
  <c r="H1104" i="1"/>
  <c r="H1092" i="1"/>
  <c r="I1090" i="1"/>
  <c r="J1063" i="1"/>
  <c r="F1104" i="1"/>
  <c r="J1103" i="1"/>
  <c r="G1105" i="1"/>
  <c r="H1091" i="1"/>
  <c r="D1082" i="1"/>
  <c r="G1077" i="1"/>
  <c r="B1110" i="1"/>
  <c r="I1102" i="1"/>
  <c r="F1090" i="1"/>
  <c r="J1081" i="1"/>
  <c r="F1076" i="1"/>
  <c r="D1062" i="1"/>
  <c r="B1062" i="1"/>
  <c r="J1062" i="1"/>
  <c r="J1109" i="1"/>
  <c r="I1106" i="1"/>
  <c r="B1104" i="1"/>
  <c r="H1102" i="1"/>
  <c r="G1099" i="1"/>
  <c r="B1098" i="1"/>
  <c r="G1097" i="1"/>
  <c r="H1097" i="1"/>
  <c r="J1097" i="1"/>
  <c r="H1096" i="1"/>
  <c r="H1095" i="1"/>
  <c r="B1090" i="1"/>
  <c r="B1088" i="1"/>
  <c r="B1087" i="1"/>
  <c r="I1086" i="1"/>
  <c r="J1086" i="1"/>
  <c r="B1086" i="1"/>
  <c r="F1085" i="1"/>
  <c r="G1085" i="1"/>
  <c r="J1085" i="1"/>
  <c r="G1084" i="1"/>
  <c r="H1084" i="1"/>
  <c r="I1084" i="1"/>
  <c r="D1081" i="1"/>
  <c r="E1081" i="1"/>
  <c r="F1081" i="1"/>
  <c r="B1078" i="1"/>
  <c r="G1076" i="1"/>
  <c r="H1075" i="1"/>
  <c r="I1074" i="1"/>
  <c r="J1074" i="1"/>
  <c r="B1074" i="1"/>
  <c r="C1074" i="1"/>
  <c r="C1073" i="1"/>
  <c r="D1073" i="1"/>
  <c r="E1073" i="1"/>
  <c r="F1073" i="1"/>
  <c r="B1073" i="1"/>
  <c r="I1072" i="1"/>
  <c r="J1072" i="1"/>
  <c r="B1072" i="1"/>
  <c r="E1072" i="1"/>
  <c r="E1071" i="1"/>
  <c r="F1071" i="1"/>
  <c r="I1071" i="1"/>
  <c r="B1071" i="1"/>
  <c r="H1070" i="1"/>
  <c r="I1070" i="1"/>
  <c r="J1070" i="1"/>
  <c r="B1070" i="1"/>
  <c r="E1069" i="1"/>
  <c r="F1069" i="1"/>
  <c r="I1069" i="1"/>
  <c r="H1068" i="1"/>
  <c r="I1068" i="1"/>
  <c r="J1068" i="1"/>
  <c r="B1068" i="1"/>
  <c r="E1067" i="1"/>
  <c r="F1067" i="1"/>
  <c r="I1066" i="1"/>
  <c r="J1066" i="1"/>
  <c r="B1066" i="1"/>
  <c r="C1065" i="1"/>
  <c r="E1065" i="1"/>
  <c r="B1064" i="1"/>
  <c r="K1063" i="1"/>
  <c r="C1062" i="1"/>
  <c r="E1146" i="4"/>
  <c r="E1145" i="4"/>
  <c r="E1143" i="4"/>
  <c r="E1140" i="4"/>
  <c r="E1139" i="4"/>
  <c r="E1135" i="4"/>
  <c r="E1134" i="4"/>
  <c r="E1132" i="4"/>
  <c r="E1129" i="4"/>
  <c r="E1128" i="4"/>
  <c r="E1125" i="4"/>
  <c r="E1120" i="4"/>
  <c r="E1118" i="4"/>
  <c r="E1116" i="4"/>
  <c r="E1114" i="4"/>
  <c r="E1112" i="4"/>
  <c r="E1101" i="4"/>
  <c r="C1099" i="4"/>
  <c r="D1110" i="1"/>
  <c r="M1110" i="1"/>
  <c r="E1110" i="1"/>
  <c r="N1110" i="1"/>
  <c r="C1110" i="1"/>
  <c r="L1110" i="1"/>
  <c r="O1110" i="1"/>
  <c r="P1110" i="1"/>
  <c r="H1110" i="1"/>
  <c r="I1110" i="1"/>
  <c r="J1110" i="1"/>
  <c r="A1111" i="1"/>
  <c r="G1110" i="1"/>
  <c r="F1110" i="1"/>
  <c r="Q1110" i="1"/>
  <c r="E1147" i="4"/>
  <c r="E1137" i="4"/>
  <c r="E1127" i="4"/>
  <c r="E1126" i="4"/>
  <c r="E1124" i="4"/>
  <c r="E1122" i="4"/>
  <c r="E1119" i="4"/>
  <c r="E1111" i="4"/>
  <c r="E1107" i="4"/>
  <c r="E1106" i="4"/>
  <c r="E1100" i="4"/>
  <c r="E1099" i="4"/>
  <c r="E1098" i="4"/>
  <c r="C1097" i="4"/>
  <c r="E1142" i="4"/>
  <c r="E1141" i="4"/>
  <c r="E1138" i="4"/>
  <c r="E1136" i="4"/>
  <c r="E1133" i="4"/>
  <c r="E1130" i="4"/>
  <c r="E1117" i="4"/>
  <c r="E1113" i="4"/>
  <c r="I1111" i="4"/>
  <c r="E1109" i="4"/>
  <c r="E1108" i="4"/>
  <c r="E1105" i="4"/>
  <c r="K1098" i="4"/>
  <c r="E1097" i="4"/>
  <c r="E1148" i="4"/>
  <c r="E1144" i="4"/>
  <c r="E1131" i="4"/>
  <c r="E1123" i="4"/>
  <c r="E1121" i="4"/>
  <c r="E1115" i="4"/>
  <c r="E1104" i="4"/>
  <c r="E1102" i="4"/>
  <c r="I1099" i="4"/>
  <c r="C1096" i="4"/>
  <c r="E1094" i="4"/>
  <c r="E1093" i="4"/>
  <c r="E1092" i="4"/>
  <c r="I1088" i="4"/>
  <c r="E1087" i="4"/>
  <c r="E1085" i="4"/>
  <c r="E1081" i="4"/>
  <c r="E1080" i="4"/>
  <c r="E1077" i="4"/>
  <c r="E1075" i="4"/>
  <c r="E1071" i="4"/>
  <c r="K1069" i="4"/>
  <c r="E1068" i="4"/>
  <c r="K1065" i="4"/>
  <c r="E1064" i="4"/>
  <c r="C1063" i="4"/>
  <c r="J1107" i="1"/>
  <c r="F1106" i="1"/>
  <c r="B1101" i="1"/>
  <c r="F1098" i="1"/>
  <c r="B1095" i="1"/>
  <c r="B1093" i="1"/>
  <c r="B1091" i="1"/>
  <c r="H1089" i="1"/>
  <c r="H1087" i="1"/>
  <c r="D1080" i="1"/>
  <c r="F1078" i="1"/>
  <c r="H1077" i="1"/>
  <c r="G1075" i="1"/>
  <c r="E1074" i="1"/>
  <c r="J1073" i="1"/>
  <c r="G1071" i="1"/>
  <c r="F1070" i="1"/>
  <c r="H1069" i="1"/>
  <c r="C1068" i="1"/>
  <c r="G1067" i="1"/>
  <c r="J1067" i="1"/>
  <c r="C1066" i="1"/>
  <c r="B1065" i="1"/>
  <c r="G1063" i="1"/>
  <c r="F1062" i="1"/>
  <c r="F1148" i="4"/>
  <c r="B1148" i="4"/>
  <c r="J1147" i="4"/>
  <c r="J1146" i="4"/>
  <c r="B1145" i="4"/>
  <c r="J1144" i="4"/>
  <c r="F1143" i="4"/>
  <c r="D1143" i="4"/>
  <c r="F1142" i="4"/>
  <c r="F1141" i="4"/>
  <c r="D1141" i="4"/>
  <c r="F1140" i="4"/>
  <c r="D1140" i="4"/>
  <c r="H1139" i="4"/>
  <c r="F1138" i="4"/>
  <c r="B1138" i="4"/>
  <c r="J1137" i="4"/>
  <c r="J1136" i="4"/>
  <c r="J1135" i="4"/>
  <c r="J1134" i="4"/>
  <c r="H1133" i="4"/>
  <c r="F1132" i="4"/>
  <c r="D1132" i="4"/>
  <c r="H1131" i="4"/>
  <c r="F1130" i="4"/>
  <c r="B1130" i="4"/>
  <c r="F1129" i="4"/>
  <c r="D1129" i="4"/>
  <c r="E1109" i="1"/>
  <c r="I1108" i="1"/>
  <c r="D1108" i="1"/>
  <c r="F1107" i="1"/>
  <c r="C1106" i="1"/>
  <c r="F1105" i="1"/>
  <c r="H1105" i="1"/>
  <c r="G1104" i="1"/>
  <c r="I1104" i="1"/>
  <c r="J1104" i="1"/>
  <c r="C1104" i="1"/>
  <c r="D1104" i="1"/>
  <c r="E1104" i="1"/>
  <c r="E1103" i="1"/>
  <c r="F1103" i="1"/>
  <c r="G1103" i="1"/>
  <c r="H1103" i="1"/>
  <c r="I1103" i="1"/>
  <c r="G1102" i="1"/>
  <c r="J1102" i="1"/>
  <c r="B1102" i="1"/>
  <c r="C1102" i="1"/>
  <c r="D1102" i="1"/>
  <c r="E1102" i="1"/>
  <c r="E1101" i="1"/>
  <c r="F1101" i="1"/>
  <c r="G1101" i="1"/>
  <c r="H1101" i="1"/>
  <c r="I1101" i="1"/>
  <c r="G1100" i="1"/>
  <c r="H1100" i="1"/>
  <c r="I1100" i="1"/>
  <c r="J1100" i="1"/>
  <c r="B1100" i="1"/>
  <c r="C1100" i="1"/>
  <c r="D1100" i="1"/>
  <c r="E1100" i="1"/>
  <c r="E1099" i="1"/>
  <c r="F1099" i="1"/>
  <c r="H1099" i="1"/>
  <c r="I1099" i="1"/>
  <c r="I1098" i="1"/>
  <c r="J1098" i="1"/>
  <c r="C1098" i="1"/>
  <c r="D1098" i="1"/>
  <c r="E1098" i="1"/>
  <c r="E1097" i="1"/>
  <c r="F1097" i="1"/>
  <c r="I1097" i="1"/>
  <c r="G1096" i="1"/>
  <c r="I1096" i="1"/>
  <c r="J1096" i="1"/>
  <c r="B1096" i="1"/>
  <c r="C1096" i="1"/>
  <c r="D1096" i="1"/>
  <c r="E1096" i="1"/>
  <c r="E1095" i="1"/>
  <c r="F1095" i="1"/>
  <c r="G1095" i="1"/>
  <c r="I1095" i="1"/>
  <c r="G1094" i="1"/>
  <c r="H1094" i="1"/>
  <c r="I1094" i="1"/>
  <c r="J1094" i="1"/>
  <c r="B1094" i="1"/>
  <c r="C1094" i="1"/>
  <c r="D1094" i="1"/>
  <c r="E1094" i="1"/>
  <c r="E1093" i="1"/>
  <c r="F1093" i="1"/>
  <c r="G1093" i="1"/>
  <c r="H1093" i="1"/>
  <c r="I1093" i="1"/>
  <c r="G1092" i="1"/>
  <c r="I1092" i="1"/>
  <c r="J1092" i="1"/>
  <c r="B1092" i="1"/>
  <c r="F1091" i="1"/>
  <c r="G1091" i="1"/>
  <c r="J1090" i="1"/>
  <c r="F1089" i="1"/>
  <c r="G1089" i="1"/>
  <c r="E1084" i="1"/>
  <c r="G1083" i="1"/>
  <c r="H1083" i="1"/>
  <c r="E1082" i="1"/>
  <c r="B1080" i="1"/>
  <c r="H1079" i="1"/>
  <c r="I1079" i="1"/>
  <c r="E1075" i="1"/>
  <c r="F1075" i="1"/>
  <c r="E1096" i="4"/>
  <c r="E1090" i="4"/>
  <c r="I1089" i="4"/>
  <c r="E1086" i="4"/>
  <c r="E1082" i="4"/>
  <c r="K1080" i="4"/>
  <c r="E1079" i="4"/>
  <c r="K1075" i="4"/>
  <c r="C1074" i="4"/>
  <c r="I1069" i="4"/>
  <c r="E1067" i="4"/>
  <c r="B1109" i="1"/>
  <c r="B1103" i="1"/>
  <c r="F1102" i="1"/>
  <c r="B1099" i="1"/>
  <c r="F1096" i="1"/>
  <c r="F1094" i="1"/>
  <c r="I1091" i="1"/>
  <c r="I1089" i="1"/>
  <c r="I1087" i="1"/>
  <c r="F1086" i="1"/>
  <c r="F1084" i="1"/>
  <c r="B1083" i="1"/>
  <c r="F1082" i="1"/>
  <c r="F1080" i="1"/>
  <c r="C1078" i="1"/>
  <c r="J1077" i="1"/>
  <c r="E1076" i="1"/>
  <c r="D1074" i="1"/>
  <c r="I1073" i="1"/>
  <c r="C1072" i="1"/>
  <c r="C1070" i="1"/>
  <c r="G1069" i="1"/>
  <c r="B1069" i="1"/>
  <c r="D1068" i="1"/>
  <c r="I1067" i="1"/>
  <c r="E1066" i="1"/>
  <c r="F1065" i="1"/>
  <c r="J1064" i="1"/>
  <c r="H1148" i="4"/>
  <c r="B1147" i="4"/>
  <c r="B1146" i="4"/>
  <c r="F1145" i="4"/>
  <c r="D1145" i="4"/>
  <c r="B1144" i="4"/>
  <c r="J1143" i="4"/>
  <c r="D1142" i="4"/>
  <c r="B1141" i="4"/>
  <c r="B1140" i="4"/>
  <c r="F1139" i="4"/>
  <c r="B1139" i="4"/>
  <c r="J1138" i="4"/>
  <c r="H1137" i="4"/>
  <c r="B1136" i="4"/>
  <c r="H1135" i="4"/>
  <c r="H1134" i="4"/>
  <c r="F1133" i="4"/>
  <c r="D1133" i="4"/>
  <c r="B1132" i="4"/>
  <c r="J1131" i="4"/>
  <c r="H1130" i="4"/>
  <c r="H1129" i="4"/>
  <c r="I1109" i="1"/>
  <c r="J1108" i="1"/>
  <c r="E1108" i="1"/>
  <c r="G1107" i="1"/>
  <c r="B1106" i="1"/>
  <c r="I1105" i="1"/>
  <c r="E1095" i="4"/>
  <c r="E1088" i="4"/>
  <c r="C1086" i="4"/>
  <c r="E1078" i="4"/>
  <c r="K1076" i="4"/>
  <c r="C1075" i="4"/>
  <c r="E1074" i="4"/>
  <c r="I1071" i="4"/>
  <c r="E1070" i="4"/>
  <c r="C1068" i="4"/>
  <c r="I1067" i="4"/>
  <c r="C1064" i="4"/>
  <c r="E1103" i="4"/>
  <c r="E1062" i="4"/>
  <c r="F1108" i="1"/>
  <c r="J1105" i="1"/>
  <c r="F1100" i="1"/>
  <c r="J1095" i="1"/>
  <c r="J1093" i="1"/>
  <c r="B1089" i="1"/>
  <c r="F1088" i="1"/>
  <c r="J1087" i="1"/>
  <c r="J1083" i="1"/>
  <c r="B1081" i="1"/>
  <c r="E1080" i="1"/>
  <c r="J1079" i="1"/>
  <c r="B1077" i="1"/>
  <c r="J1075" i="1"/>
  <c r="G1073" i="1"/>
  <c r="D1072" i="1"/>
  <c r="J1071" i="1"/>
  <c r="E1070" i="1"/>
  <c r="J1069" i="1"/>
  <c r="E1068" i="1"/>
  <c r="H1067" i="1"/>
  <c r="F1066" i="1"/>
  <c r="D1065" i="1"/>
  <c r="D1064" i="1"/>
  <c r="D1063" i="1"/>
  <c r="J1148" i="4"/>
  <c r="H1147" i="4"/>
  <c r="H1146" i="4"/>
  <c r="J1145" i="4"/>
  <c r="H1144" i="4"/>
  <c r="H1143" i="4"/>
  <c r="J1142" i="4"/>
  <c r="J1141" i="4"/>
  <c r="J1140" i="4"/>
  <c r="D1139" i="4"/>
  <c r="D1138" i="4"/>
  <c r="B1137" i="4"/>
  <c r="F1136" i="4"/>
  <c r="D1136" i="4"/>
  <c r="B1135" i="4"/>
  <c r="F1134" i="4"/>
  <c r="D1134" i="4"/>
  <c r="B1133" i="4"/>
  <c r="J1132" i="4"/>
  <c r="B1131" i="4"/>
  <c r="J1130" i="4"/>
  <c r="J1129" i="4"/>
  <c r="F1109" i="1"/>
  <c r="C1108" i="1"/>
  <c r="H1107" i="1"/>
  <c r="D1106" i="1"/>
  <c r="E1091" i="4"/>
  <c r="E1089" i="4"/>
  <c r="K1087" i="4"/>
  <c r="C1085" i="4"/>
  <c r="E1084" i="4"/>
  <c r="E1083" i="4"/>
  <c r="G1082" i="4"/>
  <c r="I1078" i="4"/>
  <c r="E1076" i="4"/>
  <c r="E1073" i="4"/>
  <c r="E1072" i="4"/>
  <c r="E1069" i="4"/>
  <c r="E1066" i="4"/>
  <c r="E1065" i="4"/>
  <c r="E1063" i="4"/>
  <c r="B1107" i="1"/>
  <c r="B1105" i="1"/>
  <c r="J1101" i="1"/>
  <c r="J1099" i="1"/>
  <c r="B1097" i="1"/>
  <c r="F1092" i="1"/>
  <c r="J1091" i="1"/>
  <c r="J1089" i="1"/>
  <c r="B1085" i="1"/>
  <c r="C1082" i="1"/>
  <c r="C1080" i="1"/>
  <c r="B1079" i="1"/>
  <c r="I1077" i="1"/>
  <c r="B1075" i="1"/>
  <c r="F1074" i="1"/>
  <c r="H1073" i="1"/>
  <c r="F1072" i="1"/>
  <c r="H1071" i="1"/>
  <c r="D1070" i="1"/>
  <c r="F1068" i="1"/>
  <c r="B1067" i="1"/>
  <c r="D1066" i="1"/>
  <c r="J1065" i="1"/>
  <c r="F1064" i="1"/>
  <c r="B1063" i="1"/>
  <c r="D1148" i="4"/>
  <c r="F1147" i="4"/>
  <c r="D1147" i="4"/>
  <c r="F1146" i="4"/>
  <c r="D1146" i="4"/>
  <c r="H1145" i="4"/>
  <c r="F1144" i="4"/>
  <c r="D1144" i="4"/>
  <c r="B1143" i="4"/>
  <c r="B1142" i="4"/>
  <c r="H1141" i="4"/>
  <c r="H1140" i="4"/>
  <c r="J1139" i="4"/>
  <c r="H1138" i="4"/>
  <c r="F1137" i="4"/>
  <c r="D1137" i="4"/>
  <c r="H1136" i="4"/>
  <c r="F1135" i="4"/>
  <c r="D1135" i="4"/>
  <c r="B1134" i="4"/>
  <c r="J1133" i="4"/>
  <c r="H1132" i="4"/>
  <c r="F1131" i="4"/>
  <c r="D1131" i="4"/>
  <c r="D1130" i="4"/>
  <c r="B1129" i="4"/>
  <c r="H1109" i="1"/>
  <c r="B1108" i="1"/>
  <c r="E1107" i="1"/>
  <c r="I1107" i="1"/>
  <c r="J1106" i="1"/>
  <c r="E1106" i="1"/>
  <c r="E1105" i="1"/>
  <c r="H1108" i="1"/>
  <c r="G1088" i="1"/>
  <c r="H1088" i="1"/>
  <c r="G1086" i="1"/>
  <c r="H1086" i="1"/>
  <c r="D1083" i="1"/>
  <c r="D1079" i="1"/>
  <c r="G1078" i="1"/>
  <c r="H1078" i="1"/>
  <c r="D1075" i="1"/>
  <c r="G1074" i="1"/>
  <c r="C1071" i="1"/>
  <c r="D1071" i="1"/>
  <c r="G1068" i="1"/>
  <c r="C1109" i="1"/>
  <c r="G1108" i="1"/>
  <c r="C1107" i="1"/>
  <c r="G1106" i="1"/>
  <c r="C1105" i="1"/>
  <c r="G1098" i="1"/>
  <c r="G1090" i="1"/>
  <c r="G1082" i="1"/>
  <c r="C1081" i="1"/>
  <c r="C1079" i="1"/>
  <c r="F1128" i="4"/>
  <c r="D1128" i="4"/>
  <c r="H1127" i="4"/>
  <c r="D1127" i="4"/>
  <c r="H1126" i="4"/>
  <c r="D1126" i="4"/>
  <c r="H1125" i="4"/>
  <c r="D1125" i="4"/>
  <c r="F1124" i="4"/>
  <c r="D1124" i="4"/>
  <c r="J1123" i="4"/>
  <c r="F1122" i="4"/>
  <c r="B1122" i="4"/>
  <c r="J1121" i="4"/>
  <c r="H1120" i="4"/>
  <c r="D1120" i="4"/>
  <c r="J1119" i="4"/>
  <c r="J1118" i="4"/>
  <c r="B1117" i="4"/>
  <c r="F1116" i="4"/>
  <c r="B1116" i="4"/>
  <c r="F1115" i="4"/>
  <c r="B1115" i="4"/>
  <c r="H1114" i="4"/>
  <c r="D1114" i="4"/>
  <c r="H1113" i="4"/>
  <c r="D1113" i="4"/>
  <c r="H1112" i="4"/>
  <c r="D1112" i="4"/>
  <c r="H1111" i="4"/>
  <c r="D1111" i="4"/>
  <c r="F1110" i="4"/>
  <c r="B1110" i="4"/>
  <c r="F1109" i="4"/>
  <c r="B1109" i="4"/>
  <c r="F1108" i="4"/>
  <c r="B1108" i="4"/>
  <c r="J1107" i="4"/>
  <c r="B1106" i="4"/>
  <c r="H1105" i="4"/>
  <c r="D1105" i="4"/>
  <c r="J1104" i="4"/>
  <c r="B1102" i="4"/>
  <c r="F1101" i="4"/>
  <c r="D1101" i="4"/>
  <c r="F1100" i="4"/>
  <c r="B1100" i="4"/>
  <c r="F1099" i="4"/>
  <c r="B1099" i="4"/>
  <c r="F1098" i="4"/>
  <c r="B1098" i="4"/>
  <c r="B1097" i="4"/>
  <c r="H1096" i="4"/>
  <c r="D1096" i="4"/>
  <c r="B1095" i="4"/>
  <c r="J1094" i="4"/>
  <c r="J1093" i="4"/>
  <c r="F1092" i="4"/>
  <c r="B1092" i="4"/>
  <c r="H1091" i="4"/>
  <c r="D1091" i="4"/>
  <c r="F1090" i="4"/>
  <c r="B1090" i="4"/>
  <c r="H1089" i="4"/>
  <c r="D1089" i="4"/>
  <c r="F1088" i="4"/>
  <c r="B1088" i="4"/>
  <c r="B1087" i="4"/>
  <c r="H1086" i="4"/>
  <c r="D1086" i="4"/>
  <c r="F1085" i="4"/>
  <c r="B1085" i="4"/>
  <c r="H1084" i="4"/>
  <c r="D1084" i="4"/>
  <c r="B1083" i="4"/>
  <c r="H1082" i="4"/>
  <c r="D1082" i="4"/>
  <c r="F1081" i="4"/>
  <c r="J1081" i="4"/>
  <c r="F1080" i="4"/>
  <c r="B1080" i="4"/>
  <c r="H1079" i="4"/>
  <c r="B1079" i="4"/>
  <c r="J1078" i="4"/>
  <c r="J1077" i="4"/>
  <c r="J1076" i="4"/>
  <c r="J1075" i="4"/>
  <c r="J1074" i="4"/>
  <c r="H1073" i="4"/>
  <c r="D1073" i="4"/>
  <c r="B1072" i="4"/>
  <c r="H1071" i="4"/>
  <c r="D1071" i="4"/>
  <c r="F1070" i="4"/>
  <c r="D1070" i="4"/>
  <c r="H1069" i="4"/>
  <c r="D1069" i="4"/>
  <c r="J1068" i="4"/>
  <c r="H1067" i="4"/>
  <c r="D1067" i="4"/>
  <c r="H1066" i="4"/>
  <c r="D1066" i="4"/>
  <c r="F1065" i="4"/>
  <c r="J1065" i="4"/>
  <c r="J1064" i="4"/>
  <c r="H1063" i="4"/>
  <c r="D1063" i="4"/>
  <c r="H1103" i="4"/>
  <c r="H1062" i="4"/>
  <c r="D1103" i="4"/>
  <c r="D1062" i="4"/>
  <c r="C1139" i="4"/>
  <c r="I1125" i="4"/>
  <c r="J1128" i="4"/>
  <c r="B1127" i="4"/>
  <c r="J1126" i="4"/>
  <c r="B1125" i="4"/>
  <c r="H1124" i="4"/>
  <c r="B1124" i="4"/>
  <c r="H1123" i="4"/>
  <c r="D1123" i="4"/>
  <c r="H1122" i="4"/>
  <c r="D1122" i="4"/>
  <c r="F1121" i="4"/>
  <c r="B1121" i="4"/>
  <c r="J1120" i="4"/>
  <c r="F1119" i="4"/>
  <c r="B1119" i="4"/>
  <c r="F1118" i="4"/>
  <c r="B1118" i="4"/>
  <c r="H1117" i="4"/>
  <c r="D1117" i="4"/>
  <c r="H1116" i="4"/>
  <c r="D1116" i="4"/>
  <c r="H1115" i="4"/>
  <c r="D1115" i="4"/>
  <c r="B1114" i="4"/>
  <c r="F1113" i="4"/>
  <c r="B1113" i="4"/>
  <c r="F1112" i="4"/>
  <c r="B1112" i="4"/>
  <c r="J1111" i="4"/>
  <c r="H1110" i="4"/>
  <c r="D1110" i="4"/>
  <c r="J1109" i="4"/>
  <c r="J1108" i="4"/>
  <c r="H1107" i="4"/>
  <c r="D1107" i="4"/>
  <c r="F1106" i="4"/>
  <c r="J1106" i="4"/>
  <c r="F1105" i="4"/>
  <c r="B1105" i="4"/>
  <c r="H1104" i="4"/>
  <c r="D1104" i="4"/>
  <c r="F1102" i="4"/>
  <c r="J1102" i="4"/>
  <c r="J1101" i="4"/>
  <c r="J1100" i="4"/>
  <c r="H1099" i="4"/>
  <c r="D1099" i="4"/>
  <c r="J1098" i="4"/>
  <c r="H1097" i="4"/>
  <c r="D1097" i="4"/>
  <c r="F1096" i="4"/>
  <c r="B1096" i="4"/>
  <c r="F1095" i="4"/>
  <c r="J1095" i="4"/>
  <c r="H1094" i="4"/>
  <c r="D1094" i="4"/>
  <c r="H1093" i="4"/>
  <c r="D1093" i="4"/>
  <c r="J1092" i="4"/>
  <c r="F1091" i="4"/>
  <c r="B1091" i="4"/>
  <c r="J1090" i="4"/>
  <c r="J1089" i="4"/>
  <c r="H1088" i="4"/>
  <c r="D1088" i="4"/>
  <c r="H1087" i="4"/>
  <c r="D1087" i="4"/>
  <c r="J1086" i="4"/>
  <c r="H1085" i="4"/>
  <c r="D1085" i="4"/>
  <c r="B1084" i="4"/>
  <c r="H1083" i="4"/>
  <c r="D1083" i="4"/>
  <c r="J1082" i="4"/>
  <c r="H1081" i="4"/>
  <c r="D1081" i="4"/>
  <c r="H1080" i="4"/>
  <c r="D1080" i="4"/>
  <c r="F1079" i="4"/>
  <c r="D1079" i="4"/>
  <c r="H1078" i="4"/>
  <c r="D1078" i="4"/>
  <c r="H1077" i="4"/>
  <c r="B1077" i="4"/>
  <c r="F1076" i="4"/>
  <c r="B1076" i="4"/>
  <c r="F1075" i="4"/>
  <c r="D1075" i="4"/>
  <c r="F1074" i="4"/>
  <c r="B1074" i="4"/>
  <c r="B1073" i="4"/>
  <c r="F1072" i="4"/>
  <c r="J1072" i="4"/>
  <c r="B1071" i="4"/>
  <c r="J1070" i="4"/>
  <c r="J1069" i="4"/>
  <c r="F1068" i="4"/>
  <c r="B1068" i="4"/>
  <c r="J1067" i="4"/>
  <c r="F1066" i="4"/>
  <c r="B1066" i="4"/>
  <c r="H1065" i="4"/>
  <c r="D1065" i="4"/>
  <c r="F1064" i="4"/>
  <c r="B1064" i="4"/>
  <c r="F1063" i="4"/>
  <c r="B1063" i="4"/>
  <c r="F1062" i="4"/>
  <c r="F1103" i="4"/>
  <c r="B1103" i="4"/>
  <c r="B1062" i="4"/>
  <c r="H1128" i="4"/>
  <c r="B1128" i="4"/>
  <c r="F1127" i="4"/>
  <c r="J1127" i="4"/>
  <c r="F1126" i="4"/>
  <c r="B1126" i="4"/>
  <c r="F1125" i="4"/>
  <c r="J1125" i="4"/>
  <c r="J1124" i="4"/>
  <c r="F1123" i="4"/>
  <c r="B1123" i="4"/>
  <c r="J1122" i="4"/>
  <c r="H1121" i="4"/>
  <c r="D1121" i="4"/>
  <c r="F1120" i="4"/>
  <c r="B1120" i="4"/>
  <c r="H1119" i="4"/>
  <c r="D1119" i="4"/>
  <c r="H1118" i="4"/>
  <c r="D1118" i="4"/>
  <c r="F1117" i="4"/>
  <c r="J1117" i="4"/>
  <c r="J1116" i="4"/>
  <c r="J1115" i="4"/>
  <c r="F1114" i="4"/>
  <c r="J1114" i="4"/>
  <c r="J1113" i="4"/>
  <c r="J1112" i="4"/>
  <c r="F1111" i="4"/>
  <c r="B1111" i="4"/>
  <c r="J1110" i="4"/>
  <c r="H1109" i="4"/>
  <c r="D1109" i="4"/>
  <c r="H1108" i="4"/>
  <c r="D1108" i="4"/>
  <c r="F1107" i="4"/>
  <c r="B1107" i="4"/>
  <c r="H1106" i="4"/>
  <c r="D1106" i="4"/>
  <c r="J1105" i="4"/>
  <c r="F1104" i="4"/>
  <c r="B1104" i="4"/>
  <c r="H1102" i="4"/>
  <c r="D1102" i="4"/>
  <c r="H1101" i="4"/>
  <c r="B1101" i="4"/>
  <c r="H1100" i="4"/>
  <c r="D1100" i="4"/>
  <c r="J1099" i="4"/>
  <c r="H1098" i="4"/>
  <c r="D1098" i="4"/>
  <c r="F1097" i="4"/>
  <c r="J1097" i="4"/>
  <c r="J1096" i="4"/>
  <c r="H1095" i="4"/>
  <c r="D1095" i="4"/>
  <c r="F1094" i="4"/>
  <c r="B1094" i="4"/>
  <c r="F1093" i="4"/>
  <c r="B1093" i="4"/>
  <c r="H1092" i="4"/>
  <c r="D1092" i="4"/>
  <c r="J1091" i="4"/>
  <c r="H1090" i="4"/>
  <c r="D1090" i="4"/>
  <c r="F1089" i="4"/>
  <c r="B1089" i="4"/>
  <c r="J1088" i="4"/>
  <c r="F1087" i="4"/>
  <c r="J1087" i="4"/>
  <c r="F1086" i="4"/>
  <c r="B1086" i="4"/>
  <c r="J1085" i="4"/>
  <c r="F1084" i="4"/>
  <c r="J1084" i="4"/>
  <c r="F1083" i="4"/>
  <c r="J1083" i="4"/>
  <c r="F1082" i="4"/>
  <c r="B1082" i="4"/>
  <c r="B1081" i="4"/>
  <c r="J1080" i="4"/>
  <c r="J1079" i="4"/>
  <c r="F1078" i="4"/>
  <c r="B1078" i="4"/>
  <c r="F1077" i="4"/>
  <c r="D1077" i="4"/>
  <c r="H1076" i="4"/>
  <c r="D1076" i="4"/>
  <c r="H1075" i="4"/>
  <c r="H1074" i="4"/>
  <c r="D1074" i="4"/>
  <c r="F1073" i="4"/>
  <c r="J1073" i="4"/>
  <c r="H1072" i="4"/>
  <c r="D1072" i="4"/>
  <c r="F1071" i="4"/>
  <c r="J1071" i="4"/>
  <c r="H1070" i="4"/>
  <c r="B1070" i="4"/>
  <c r="F1069" i="4"/>
  <c r="B1069" i="4"/>
  <c r="H1068" i="4"/>
  <c r="D1068" i="4"/>
  <c r="F1067" i="4"/>
  <c r="B1067" i="4"/>
  <c r="J1066" i="4"/>
  <c r="B1065" i="4"/>
  <c r="H1064" i="4"/>
  <c r="D1064" i="4"/>
  <c r="J1063" i="4"/>
  <c r="J1103" i="4"/>
  <c r="J1062" i="4"/>
  <c r="D1109" i="1"/>
  <c r="D1107" i="1"/>
  <c r="H1106" i="1"/>
  <c r="D1105" i="1"/>
  <c r="D1103" i="1"/>
  <c r="D1101" i="1"/>
  <c r="D1099" i="1"/>
  <c r="H1098" i="1"/>
  <c r="D1097" i="1"/>
  <c r="D1095" i="1"/>
  <c r="D1093" i="1"/>
  <c r="D1091" i="1"/>
  <c r="H1090" i="1"/>
  <c r="D1089" i="1"/>
  <c r="D1087" i="1"/>
  <c r="D1085" i="1"/>
  <c r="H1082" i="1"/>
  <c r="H1080" i="1"/>
  <c r="D1077" i="1"/>
  <c r="H1076" i="1"/>
  <c r="H1074" i="1"/>
  <c r="H1072" i="1"/>
  <c r="G1070" i="1"/>
  <c r="D1069" i="1"/>
  <c r="D1067" i="1"/>
  <c r="G1066" i="1"/>
  <c r="H1066" i="1"/>
  <c r="H1065" i="1"/>
  <c r="H1064" i="1"/>
  <c r="C1063" i="1"/>
  <c r="F1063" i="1"/>
  <c r="R1063" i="1"/>
  <c r="K1062" i="1"/>
  <c r="H1062" i="1"/>
  <c r="C1092" i="1"/>
  <c r="D1090" i="1"/>
  <c r="E1089" i="1"/>
  <c r="J1088" i="1"/>
  <c r="D1088" i="1"/>
  <c r="G1087" i="1"/>
  <c r="D1086" i="1"/>
  <c r="E1085" i="1"/>
  <c r="B1084" i="1"/>
  <c r="I1083" i="1"/>
  <c r="I1082" i="1"/>
  <c r="G1081" i="1"/>
  <c r="G1079" i="1"/>
  <c r="J1078" i="1"/>
  <c r="D1078" i="1"/>
  <c r="E1077" i="1"/>
  <c r="B1076" i="1"/>
  <c r="C1148" i="4"/>
  <c r="I1147" i="4"/>
  <c r="K1146" i="4"/>
  <c r="I1145" i="4"/>
  <c r="K1144" i="4"/>
  <c r="C1143" i="4"/>
  <c r="C1142" i="4"/>
  <c r="C1141" i="4"/>
  <c r="C1140" i="4"/>
  <c r="I1139" i="4"/>
  <c r="I1138" i="4"/>
  <c r="C1138" i="4"/>
  <c r="I1137" i="4"/>
  <c r="C1137" i="4"/>
  <c r="K1136" i="4"/>
  <c r="I1135" i="4"/>
  <c r="C1135" i="4"/>
  <c r="I1134" i="4"/>
  <c r="C1133" i="4"/>
  <c r="I1132" i="4"/>
  <c r="I1131" i="4"/>
  <c r="C1130" i="4"/>
  <c r="I1129" i="4"/>
  <c r="I1128" i="4"/>
  <c r="K1127" i="4"/>
  <c r="I1126" i="4"/>
  <c r="I1124" i="4"/>
  <c r="I1123" i="4"/>
  <c r="I1122" i="4"/>
  <c r="G1121" i="4"/>
  <c r="C1121" i="4"/>
  <c r="K1120" i="4"/>
  <c r="K1119" i="4"/>
  <c r="K1118" i="4"/>
  <c r="I1117" i="4"/>
  <c r="I1116" i="4"/>
  <c r="I1110" i="4"/>
  <c r="C1110" i="3"/>
  <c r="D1110" i="3"/>
  <c r="A1111" i="3"/>
  <c r="B1110" i="3"/>
  <c r="E1110" i="3"/>
  <c r="D1092" i="1"/>
  <c r="E1090" i="1"/>
  <c r="C1088" i="1"/>
  <c r="E1087" i="1"/>
  <c r="C1086" i="1"/>
  <c r="I1085" i="1"/>
  <c r="C1084" i="1"/>
  <c r="F1083" i="1"/>
  <c r="B1082" i="1"/>
  <c r="I1081" i="1"/>
  <c r="J1080" i="1"/>
  <c r="E1079" i="1"/>
  <c r="I1078" i="1"/>
  <c r="J1076" i="1"/>
  <c r="D1076" i="1"/>
  <c r="I1075" i="1"/>
  <c r="K1148" i="4"/>
  <c r="C1147" i="4"/>
  <c r="I1146" i="4"/>
  <c r="C1145" i="4"/>
  <c r="C1144" i="4"/>
  <c r="I1143" i="4"/>
  <c r="I1142" i="4"/>
  <c r="K1141" i="4"/>
  <c r="I1140" i="4"/>
  <c r="K1134" i="4"/>
  <c r="K1133" i="4"/>
  <c r="C1132" i="4"/>
  <c r="K1131" i="4"/>
  <c r="I1130" i="4"/>
  <c r="C1129" i="4"/>
  <c r="C1128" i="4"/>
  <c r="C1127" i="4"/>
  <c r="C1126" i="4"/>
  <c r="K1125" i="4"/>
  <c r="K1124" i="4"/>
  <c r="C1123" i="4"/>
  <c r="K1122" i="4"/>
  <c r="I1121" i="4"/>
  <c r="I1120" i="4"/>
  <c r="C1119" i="4"/>
  <c r="C1118" i="4"/>
  <c r="K1117" i="4"/>
  <c r="E1092" i="1"/>
  <c r="E1091" i="1"/>
  <c r="C1090" i="1"/>
  <c r="I1088" i="1"/>
  <c r="E1088" i="1"/>
  <c r="F1087" i="1"/>
  <c r="E1086" i="1"/>
  <c r="H1085" i="1"/>
  <c r="J1084" i="1"/>
  <c r="D1084" i="1"/>
  <c r="E1083" i="1"/>
  <c r="J1082" i="1"/>
  <c r="H1081" i="1"/>
  <c r="I1080" i="1"/>
  <c r="F1079" i="1"/>
  <c r="E1078" i="1"/>
  <c r="F1077" i="1"/>
  <c r="I1076" i="1"/>
  <c r="C1076" i="1"/>
  <c r="I1148" i="4"/>
  <c r="K1147" i="4"/>
  <c r="C1146" i="4"/>
  <c r="K1145" i="4"/>
  <c r="I1144" i="4"/>
  <c r="K1143" i="4"/>
  <c r="K1142" i="4"/>
  <c r="I1141" i="4"/>
  <c r="K1140" i="4"/>
  <c r="K1139" i="4"/>
  <c r="K1138" i="4"/>
  <c r="K1137" i="4"/>
  <c r="I1136" i="4"/>
  <c r="C1136" i="4"/>
  <c r="K1135" i="4"/>
  <c r="C1134" i="4"/>
  <c r="I1133" i="4"/>
  <c r="K1132" i="4"/>
  <c r="C1131" i="4"/>
  <c r="K1130" i="4"/>
  <c r="K1129" i="4"/>
  <c r="K1128" i="4"/>
  <c r="I1127" i="4"/>
  <c r="K1126" i="4"/>
  <c r="C1125" i="4"/>
  <c r="C1124" i="4"/>
  <c r="K1123" i="4"/>
  <c r="C1122" i="4"/>
  <c r="K1121" i="4"/>
  <c r="C1120" i="4"/>
  <c r="I1119" i="4"/>
  <c r="I1118" i="4"/>
  <c r="C1117" i="4"/>
  <c r="C1103" i="1"/>
  <c r="C1101" i="1"/>
  <c r="C1099" i="1"/>
  <c r="C1097" i="1"/>
  <c r="C1095" i="1"/>
  <c r="C1093" i="1"/>
  <c r="C1091" i="1"/>
  <c r="C1089" i="1"/>
  <c r="C1087" i="1"/>
  <c r="C1085" i="1"/>
  <c r="C1083" i="1"/>
  <c r="G1080" i="1"/>
  <c r="C1077" i="1"/>
  <c r="C1075" i="1"/>
  <c r="G1072" i="1"/>
  <c r="C1069" i="1"/>
  <c r="C1067" i="1"/>
  <c r="I1065" i="1"/>
  <c r="G1065" i="1"/>
  <c r="R1064" i="1"/>
  <c r="E1064" i="1"/>
  <c r="G1064" i="1"/>
  <c r="E1063" i="1"/>
  <c r="H1063" i="1"/>
  <c r="E1062" i="1"/>
  <c r="G1062" i="1"/>
  <c r="C1116" i="4"/>
  <c r="I1115" i="4"/>
  <c r="C1115" i="4"/>
  <c r="K1114" i="4"/>
  <c r="I1113" i="4"/>
  <c r="C1113" i="4"/>
  <c r="I1112" i="4"/>
  <c r="C1112" i="4"/>
  <c r="K1111" i="4"/>
  <c r="K1110" i="4"/>
  <c r="I1109" i="4"/>
  <c r="C1109" i="4"/>
  <c r="K1108" i="4"/>
  <c r="K1107" i="4"/>
  <c r="K1106" i="4"/>
  <c r="I1105" i="4"/>
  <c r="C1105" i="4"/>
  <c r="I1104" i="4"/>
  <c r="K1104" i="4"/>
  <c r="C1102" i="4"/>
  <c r="I1101" i="4"/>
  <c r="C1101" i="4"/>
  <c r="K1097" i="4"/>
  <c r="I1093" i="4"/>
  <c r="I1082" i="4"/>
  <c r="K1116" i="4"/>
  <c r="K1115" i="4"/>
  <c r="I1114" i="4"/>
  <c r="C1114" i="4"/>
  <c r="K1113" i="4"/>
  <c r="K1112" i="4"/>
  <c r="C1111" i="4"/>
  <c r="C1110" i="4"/>
  <c r="K1109" i="4"/>
  <c r="I1108" i="4"/>
  <c r="C1108" i="4"/>
  <c r="I1107" i="4"/>
  <c r="C1107" i="4"/>
  <c r="I1106" i="4"/>
  <c r="C1106" i="4"/>
  <c r="K1105" i="4"/>
  <c r="C1104" i="4"/>
  <c r="I1102" i="4"/>
  <c r="K1102" i="4"/>
  <c r="K1101" i="4"/>
  <c r="I1100" i="4"/>
  <c r="C1095" i="4"/>
  <c r="K1086" i="4"/>
  <c r="D1109" i="3"/>
  <c r="D1108" i="3"/>
  <c r="D1106" i="3"/>
  <c r="D1105" i="3"/>
  <c r="D1104" i="3"/>
  <c r="D1103" i="3"/>
  <c r="D1102" i="3"/>
  <c r="D1101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4" i="3"/>
  <c r="D1083" i="3"/>
  <c r="D1082" i="3"/>
  <c r="D1081" i="3"/>
  <c r="D1080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2" i="3"/>
  <c r="G1120" i="4"/>
  <c r="G1106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5" i="4"/>
  <c r="G1104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103" i="4"/>
  <c r="A1088" i="2"/>
  <c r="C1108" i="3"/>
  <c r="C1107" i="3"/>
  <c r="C1102" i="3"/>
  <c r="C1100" i="3"/>
  <c r="C1099" i="3"/>
  <c r="C1096" i="3"/>
  <c r="C1094" i="3"/>
  <c r="C1092" i="3"/>
  <c r="C1091" i="3"/>
  <c r="C1088" i="3"/>
  <c r="C1086" i="3"/>
  <c r="E1108" i="3"/>
  <c r="E1106" i="3"/>
  <c r="E1105" i="3"/>
  <c r="E1102" i="3"/>
  <c r="E1101" i="3"/>
  <c r="E1100" i="3"/>
  <c r="E1098" i="3"/>
  <c r="E1097" i="3"/>
  <c r="E1096" i="3"/>
  <c r="E1094" i="3"/>
  <c r="E1093" i="3"/>
  <c r="E1092" i="3"/>
  <c r="E1090" i="3"/>
  <c r="E1089" i="3"/>
  <c r="E1088" i="3"/>
  <c r="E1086" i="3"/>
  <c r="E1084" i="3"/>
  <c r="E1082" i="3"/>
  <c r="E1080" i="3"/>
  <c r="K1100" i="4"/>
  <c r="C1100" i="4"/>
  <c r="K1099" i="4"/>
  <c r="I1098" i="4"/>
  <c r="C1098" i="4"/>
  <c r="I1097" i="4"/>
  <c r="I1096" i="4"/>
  <c r="K1096" i="4"/>
  <c r="I1095" i="4"/>
  <c r="K1095" i="4"/>
  <c r="I1094" i="4"/>
  <c r="K1094" i="4"/>
  <c r="C1094" i="4"/>
  <c r="K1093" i="4"/>
  <c r="C1093" i="4"/>
  <c r="I1092" i="4"/>
  <c r="K1092" i="4"/>
  <c r="C1092" i="4"/>
  <c r="I1091" i="4"/>
  <c r="K1091" i="4"/>
  <c r="C1091" i="4"/>
  <c r="I1090" i="4"/>
  <c r="K1090" i="4"/>
  <c r="C1090" i="4"/>
  <c r="K1089" i="4"/>
  <c r="C1089" i="4"/>
  <c r="K1088" i="4"/>
  <c r="C1088" i="4"/>
  <c r="I1087" i="4"/>
  <c r="C1087" i="4"/>
  <c r="I1086" i="4"/>
  <c r="I1085" i="4"/>
  <c r="K1085" i="4"/>
  <c r="I1084" i="4"/>
  <c r="K1084" i="4"/>
  <c r="C1084" i="4"/>
  <c r="I1083" i="4"/>
  <c r="K1083" i="4"/>
  <c r="C1083" i="4"/>
  <c r="K1082" i="4"/>
  <c r="C1082" i="4"/>
  <c r="I1081" i="4"/>
  <c r="K1081" i="4"/>
  <c r="C1081" i="4"/>
  <c r="I1080" i="4"/>
  <c r="C1080" i="4"/>
  <c r="I1079" i="4"/>
  <c r="K1079" i="4"/>
  <c r="C1079" i="4"/>
  <c r="K1078" i="4"/>
  <c r="C1078" i="4"/>
  <c r="I1077" i="4"/>
  <c r="K1077" i="4"/>
  <c r="C1077" i="4"/>
  <c r="I1076" i="4"/>
  <c r="C1076" i="4"/>
  <c r="I1075" i="4"/>
  <c r="I1074" i="4"/>
  <c r="K1074" i="4"/>
  <c r="I1073" i="4"/>
  <c r="K1073" i="4"/>
  <c r="C1073" i="4"/>
  <c r="I1072" i="4"/>
  <c r="K1072" i="4"/>
  <c r="C1072" i="4"/>
  <c r="K1071" i="4"/>
  <c r="C1071" i="4"/>
  <c r="I1070" i="4"/>
  <c r="K1070" i="4"/>
  <c r="C1070" i="4"/>
  <c r="C1069" i="4"/>
  <c r="I1068" i="4"/>
  <c r="K1068" i="4"/>
  <c r="K1067" i="4"/>
  <c r="C1067" i="4"/>
  <c r="I1066" i="4"/>
  <c r="K1066" i="4"/>
  <c r="C1066" i="4"/>
  <c r="I1065" i="4"/>
  <c r="C1065" i="4"/>
  <c r="I1064" i="4"/>
  <c r="K1064" i="4"/>
  <c r="I1063" i="4"/>
  <c r="K1063" i="4"/>
  <c r="I1062" i="4"/>
  <c r="I1103" i="4"/>
  <c r="K1103" i="4"/>
  <c r="K1062" i="4"/>
  <c r="C1103" i="4"/>
  <c r="C1062" i="4"/>
  <c r="E1078" i="3"/>
  <c r="E1076" i="3"/>
  <c r="E1074" i="3"/>
  <c r="E1072" i="3"/>
  <c r="E1070" i="3"/>
  <c r="E1068" i="3"/>
  <c r="E1066" i="3"/>
  <c r="E1064" i="3"/>
  <c r="E1062" i="3"/>
  <c r="D1111" i="1" l="1"/>
  <c r="M1111" i="1"/>
  <c r="E1111" i="1"/>
  <c r="N1111" i="1"/>
  <c r="C1111" i="1"/>
  <c r="L1111" i="1"/>
  <c r="I1111" i="1"/>
  <c r="J1111" i="1"/>
  <c r="H1111" i="1"/>
  <c r="O1111" i="1"/>
  <c r="P1111" i="1"/>
  <c r="G1111" i="1"/>
  <c r="B1111" i="1"/>
  <c r="F1111" i="1"/>
  <c r="A1112" i="1"/>
  <c r="Q1111" i="1"/>
  <c r="A1112" i="3"/>
  <c r="D1111" i="3"/>
  <c r="C1111" i="3"/>
  <c r="E1111" i="3"/>
  <c r="B1111" i="3"/>
  <c r="A1089" i="2"/>
  <c r="B1088" i="2"/>
  <c r="D1112" i="1" l="1"/>
  <c r="M1112" i="1"/>
  <c r="E1112" i="1"/>
  <c r="N1112" i="1"/>
  <c r="C1112" i="1"/>
  <c r="L1112" i="1"/>
  <c r="G1112" i="1"/>
  <c r="H1112" i="1"/>
  <c r="J1112" i="1"/>
  <c r="O1112" i="1"/>
  <c r="P1112" i="1"/>
  <c r="I1112" i="1"/>
  <c r="Q1112" i="1"/>
  <c r="A1113" i="1"/>
  <c r="B1112" i="1"/>
  <c r="F1112" i="1"/>
  <c r="A1090" i="2"/>
  <c r="B1089" i="2"/>
  <c r="B1112" i="3"/>
  <c r="C1112" i="3"/>
  <c r="D1112" i="3"/>
  <c r="A1113" i="3"/>
  <c r="E1112" i="3"/>
  <c r="B1113" i="3" l="1"/>
  <c r="E1113" i="3"/>
  <c r="D1113" i="3"/>
  <c r="A1114" i="3"/>
  <c r="C1113" i="3"/>
  <c r="D1113" i="1"/>
  <c r="M1113" i="1"/>
  <c r="E1113" i="1"/>
  <c r="N1113" i="1"/>
  <c r="C1113" i="1"/>
  <c r="L1113" i="1"/>
  <c r="B1113" i="1"/>
  <c r="Q1113" i="1"/>
  <c r="F1113" i="1"/>
  <c r="A1114" i="1"/>
  <c r="J1113" i="1"/>
  <c r="O1113" i="1"/>
  <c r="P1113" i="1"/>
  <c r="G1113" i="1"/>
  <c r="I1113" i="1"/>
  <c r="H1113" i="1"/>
  <c r="A1091" i="2"/>
  <c r="B1090" i="2"/>
  <c r="B1091" i="2" l="1"/>
  <c r="A1092" i="2"/>
  <c r="E1114" i="3"/>
  <c r="B1114" i="3"/>
  <c r="C1114" i="3"/>
  <c r="D1114" i="3"/>
  <c r="A1115" i="3"/>
  <c r="D1114" i="1"/>
  <c r="M1114" i="1"/>
  <c r="E1114" i="1"/>
  <c r="N1114" i="1"/>
  <c r="C1114" i="1"/>
  <c r="L1114" i="1"/>
  <c r="O1114" i="1"/>
  <c r="P1114" i="1"/>
  <c r="J1114" i="1"/>
  <c r="Q1114" i="1"/>
  <c r="A1115" i="1"/>
  <c r="G1114" i="1"/>
  <c r="H1114" i="1"/>
  <c r="I1114" i="1"/>
  <c r="B1114" i="1"/>
  <c r="F1114" i="1"/>
  <c r="D1115" i="1" l="1"/>
  <c r="M1115" i="1"/>
  <c r="E1115" i="1"/>
  <c r="N1115" i="1"/>
  <c r="C1115" i="1"/>
  <c r="L1115" i="1"/>
  <c r="I1115" i="1"/>
  <c r="J1115" i="1"/>
  <c r="P1115" i="1"/>
  <c r="Q1115" i="1"/>
  <c r="A1116" i="1"/>
  <c r="B1115" i="1"/>
  <c r="H1115" i="1"/>
  <c r="F1115" i="1"/>
  <c r="O1115" i="1"/>
  <c r="G1115" i="1"/>
  <c r="B1092" i="2"/>
  <c r="A1093" i="2"/>
  <c r="D1115" i="3"/>
  <c r="E1115" i="3"/>
  <c r="B1115" i="3"/>
  <c r="C1115" i="3"/>
  <c r="A1116" i="3"/>
  <c r="C1116" i="3" l="1"/>
  <c r="B1116" i="3"/>
  <c r="D1116" i="3"/>
  <c r="E1116" i="3"/>
  <c r="A1117" i="3"/>
  <c r="D1116" i="1"/>
  <c r="M1116" i="1"/>
  <c r="E1116" i="1"/>
  <c r="N1116" i="1"/>
  <c r="C1116" i="1"/>
  <c r="L1116" i="1"/>
  <c r="G1116" i="1"/>
  <c r="H1116" i="1"/>
  <c r="P1116" i="1"/>
  <c r="Q1116" i="1"/>
  <c r="A1117" i="1"/>
  <c r="B1116" i="1"/>
  <c r="J1116" i="1"/>
  <c r="F1116" i="1"/>
  <c r="I1116" i="1"/>
  <c r="O1116" i="1"/>
  <c r="A1094" i="2"/>
  <c r="B1093" i="2"/>
  <c r="A1095" i="2" l="1"/>
  <c r="B1094" i="2"/>
  <c r="D1117" i="1"/>
  <c r="M1117" i="1"/>
  <c r="E1117" i="1"/>
  <c r="N1117" i="1"/>
  <c r="C1117" i="1"/>
  <c r="L1117" i="1"/>
  <c r="B1117" i="1"/>
  <c r="Q1117" i="1"/>
  <c r="A1118" i="1"/>
  <c r="F1117" i="1"/>
  <c r="P1117" i="1"/>
  <c r="J1117" i="1"/>
  <c r="O1117" i="1"/>
  <c r="H1117" i="1"/>
  <c r="G1117" i="1"/>
  <c r="I1117" i="1"/>
  <c r="A1118" i="3"/>
  <c r="C1117" i="3"/>
  <c r="E1117" i="3"/>
  <c r="D1117" i="3"/>
  <c r="B1117" i="3"/>
  <c r="C1118" i="3" l="1"/>
  <c r="D1118" i="3"/>
  <c r="E1118" i="3"/>
  <c r="B1118" i="3"/>
  <c r="A1119" i="3"/>
  <c r="D1118" i="1"/>
  <c r="M1118" i="1"/>
  <c r="E1118" i="1"/>
  <c r="N1118" i="1"/>
  <c r="C1118" i="1"/>
  <c r="L1118" i="1"/>
  <c r="O1118" i="1"/>
  <c r="P1118" i="1"/>
  <c r="A1119" i="1"/>
  <c r="B1118" i="1"/>
  <c r="F1118" i="1"/>
  <c r="H1118" i="1"/>
  <c r="G1118" i="1"/>
  <c r="Q1118" i="1"/>
  <c r="J1118" i="1"/>
  <c r="I1118" i="1"/>
  <c r="B1095" i="2"/>
  <c r="A1096" i="2"/>
  <c r="A1097" i="2" l="1"/>
  <c r="B1096" i="2"/>
  <c r="D1119" i="1"/>
  <c r="M1119" i="1"/>
  <c r="E1119" i="1"/>
  <c r="N1119" i="1"/>
  <c r="C1119" i="1"/>
  <c r="L1119" i="1"/>
  <c r="I1119" i="1"/>
  <c r="J1119" i="1"/>
  <c r="A1120" i="1"/>
  <c r="B1119" i="1"/>
  <c r="F1119" i="1"/>
  <c r="H1119" i="1"/>
  <c r="Q1119" i="1"/>
  <c r="O1119" i="1"/>
  <c r="P1119" i="1"/>
  <c r="G1119" i="1"/>
  <c r="D1119" i="3"/>
  <c r="B1119" i="3"/>
  <c r="A1120" i="3"/>
  <c r="C1119" i="3"/>
  <c r="E1119" i="3"/>
  <c r="D1120" i="1" l="1"/>
  <c r="M1120" i="1"/>
  <c r="E1120" i="1"/>
  <c r="N1120" i="1"/>
  <c r="C1120" i="1"/>
  <c r="L1120" i="1"/>
  <c r="G1120" i="1"/>
  <c r="H1120" i="1"/>
  <c r="A1121" i="1"/>
  <c r="B1120" i="1"/>
  <c r="F1120" i="1"/>
  <c r="Q1120" i="1"/>
  <c r="O1120" i="1"/>
  <c r="I1120" i="1"/>
  <c r="J1120" i="1"/>
  <c r="P1120" i="1"/>
  <c r="A1098" i="2"/>
  <c r="B1097" i="2"/>
  <c r="A1121" i="3"/>
  <c r="C1120" i="3"/>
  <c r="D1120" i="3"/>
  <c r="E1120" i="3"/>
  <c r="B1120" i="3"/>
  <c r="B1121" i="3" l="1"/>
  <c r="A1122" i="3"/>
  <c r="D1121" i="3"/>
  <c r="E1121" i="3"/>
  <c r="C1121" i="3"/>
  <c r="B1098" i="2"/>
  <c r="A1099" i="2"/>
  <c r="D1121" i="1"/>
  <c r="M1121" i="1"/>
  <c r="E1121" i="1"/>
  <c r="N1121" i="1"/>
  <c r="C1121" i="1"/>
  <c r="L1121" i="1"/>
  <c r="B1121" i="1"/>
  <c r="Q1121" i="1"/>
  <c r="A1122" i="1"/>
  <c r="F1121" i="1"/>
  <c r="G1121" i="1"/>
  <c r="H1121" i="1"/>
  <c r="I1121" i="1"/>
  <c r="J1121" i="1"/>
  <c r="O1121" i="1"/>
  <c r="P1121" i="1"/>
  <c r="D1122" i="1" l="1"/>
  <c r="M1122" i="1"/>
  <c r="E1122" i="1"/>
  <c r="N1122" i="1"/>
  <c r="C1122" i="1"/>
  <c r="L1122" i="1"/>
  <c r="O1122" i="1"/>
  <c r="P1122" i="1"/>
  <c r="F1122" i="1"/>
  <c r="G1122" i="1"/>
  <c r="H1122" i="1"/>
  <c r="Q1122" i="1"/>
  <c r="A1123" i="1"/>
  <c r="I1122" i="1"/>
  <c r="B1122" i="1"/>
  <c r="J1122" i="1"/>
  <c r="E1122" i="3"/>
  <c r="A1123" i="3"/>
  <c r="C1122" i="3"/>
  <c r="D1122" i="3"/>
  <c r="B1122" i="3"/>
  <c r="B1099" i="2"/>
  <c r="A1100" i="2"/>
  <c r="B1100" i="2" l="1"/>
  <c r="A1101" i="2"/>
  <c r="D1123" i="1"/>
  <c r="M1123" i="1"/>
  <c r="E1123" i="1"/>
  <c r="N1123" i="1"/>
  <c r="C1123" i="1"/>
  <c r="L1123" i="1"/>
  <c r="I1123" i="1"/>
  <c r="J1123" i="1"/>
  <c r="F1123" i="1"/>
  <c r="G1123" i="1"/>
  <c r="H1123" i="1"/>
  <c r="O1123" i="1"/>
  <c r="B1123" i="1"/>
  <c r="A1124" i="1"/>
  <c r="Q1123" i="1"/>
  <c r="P1123" i="1"/>
  <c r="B1123" i="3"/>
  <c r="A1124" i="3"/>
  <c r="C1123" i="3"/>
  <c r="D1123" i="3"/>
  <c r="E1123" i="3"/>
  <c r="A1102" i="2" l="1"/>
  <c r="B1101" i="2"/>
  <c r="D1124" i="1"/>
  <c r="M1124" i="1"/>
  <c r="E1124" i="1"/>
  <c r="N1124" i="1"/>
  <c r="C1124" i="1"/>
  <c r="L1124" i="1"/>
  <c r="G1124" i="1"/>
  <c r="H1124" i="1"/>
  <c r="F1124" i="1"/>
  <c r="I1124" i="1"/>
  <c r="J1124" i="1"/>
  <c r="O1124" i="1"/>
  <c r="A1125" i="1"/>
  <c r="P1124" i="1"/>
  <c r="Q1124" i="1"/>
  <c r="B1124" i="1"/>
  <c r="C1124" i="3"/>
  <c r="E1124" i="3"/>
  <c r="D1124" i="3"/>
  <c r="A1125" i="3"/>
  <c r="B1124" i="3"/>
  <c r="D1125" i="1" l="1"/>
  <c r="M1125" i="1"/>
  <c r="E1125" i="1"/>
  <c r="N1125" i="1"/>
  <c r="C1125" i="1"/>
  <c r="L1125" i="1"/>
  <c r="B1125" i="1"/>
  <c r="Q1125" i="1"/>
  <c r="F1125" i="1"/>
  <c r="A1126" i="1"/>
  <c r="H1125" i="1"/>
  <c r="I1125" i="1"/>
  <c r="J1125" i="1"/>
  <c r="P1125" i="1"/>
  <c r="G1125" i="1"/>
  <c r="O1125" i="1"/>
  <c r="A1126" i="3"/>
  <c r="B1125" i="3"/>
  <c r="C1125" i="3"/>
  <c r="D1125" i="3"/>
  <c r="E1125" i="3"/>
  <c r="A1103" i="2"/>
  <c r="B1102" i="2"/>
  <c r="D1126" i="3" l="1"/>
  <c r="E1126" i="3"/>
  <c r="A1127" i="3"/>
  <c r="B1126" i="3"/>
  <c r="C1126" i="3"/>
  <c r="B1103" i="2"/>
  <c r="A1104" i="2"/>
  <c r="D1126" i="1"/>
  <c r="M1126" i="1"/>
  <c r="E1126" i="1"/>
  <c r="N1126" i="1"/>
  <c r="C1126" i="1"/>
  <c r="L1126" i="1"/>
  <c r="O1126" i="1"/>
  <c r="P1126" i="1"/>
  <c r="H1126" i="1"/>
  <c r="I1126" i="1"/>
  <c r="J1126" i="1"/>
  <c r="F1126" i="1"/>
  <c r="G1126" i="1"/>
  <c r="A1127" i="1"/>
  <c r="Q1126" i="1"/>
  <c r="B1126" i="1"/>
  <c r="B1104" i="2" l="1"/>
  <c r="A1105" i="2"/>
  <c r="D1127" i="3"/>
  <c r="B1127" i="3"/>
  <c r="C1127" i="3"/>
  <c r="E1127" i="3"/>
  <c r="A1128" i="3"/>
  <c r="D1127" i="1"/>
  <c r="M1127" i="1"/>
  <c r="E1127" i="1"/>
  <c r="N1127" i="1"/>
  <c r="C1127" i="1"/>
  <c r="L1127" i="1"/>
  <c r="I1127" i="1"/>
  <c r="J1127" i="1"/>
  <c r="H1127" i="1"/>
  <c r="O1127" i="1"/>
  <c r="P1127" i="1"/>
  <c r="A1128" i="1"/>
  <c r="G1127" i="1"/>
  <c r="F1127" i="1"/>
  <c r="Q1127" i="1"/>
  <c r="B1127" i="1"/>
  <c r="C1128" i="3" l="1"/>
  <c r="E1128" i="3"/>
  <c r="A1129" i="3"/>
  <c r="B1128" i="3"/>
  <c r="D1128" i="3"/>
  <c r="D1128" i="1"/>
  <c r="M1128" i="1"/>
  <c r="E1128" i="1"/>
  <c r="N1128" i="1"/>
  <c r="C1128" i="1"/>
  <c r="L1128" i="1"/>
  <c r="G1128" i="1"/>
  <c r="H1128" i="1"/>
  <c r="J1128" i="1"/>
  <c r="O1128" i="1"/>
  <c r="P1128" i="1"/>
  <c r="B1128" i="1"/>
  <c r="F1128" i="1"/>
  <c r="I1128" i="1"/>
  <c r="Q1128" i="1"/>
  <c r="A1129" i="1"/>
  <c r="A1106" i="2"/>
  <c r="B1105" i="2"/>
  <c r="B1106" i="2" l="1"/>
  <c r="A1107" i="2"/>
  <c r="B1129" i="3"/>
  <c r="C1129" i="3"/>
  <c r="D1129" i="3"/>
  <c r="E1129" i="3"/>
  <c r="A1130" i="3"/>
  <c r="D1129" i="1"/>
  <c r="M1129" i="1"/>
  <c r="E1129" i="1"/>
  <c r="N1129" i="1"/>
  <c r="C1129" i="1"/>
  <c r="L1129" i="1"/>
  <c r="B1129" i="1"/>
  <c r="Q1129" i="1"/>
  <c r="A1130" i="1"/>
  <c r="F1129" i="1"/>
  <c r="J1129" i="1"/>
  <c r="O1129" i="1"/>
  <c r="P1129" i="1"/>
  <c r="I1129" i="1"/>
  <c r="G1129" i="1"/>
  <c r="H1129" i="1"/>
  <c r="D1130" i="1" l="1"/>
  <c r="M1130" i="1"/>
  <c r="E1130" i="1"/>
  <c r="N1130" i="1"/>
  <c r="C1130" i="1"/>
  <c r="L1130" i="1"/>
  <c r="O1130" i="1"/>
  <c r="P1130" i="1"/>
  <c r="J1130" i="1"/>
  <c r="Q1130" i="1"/>
  <c r="A1131" i="1"/>
  <c r="G1130" i="1"/>
  <c r="B1130" i="1"/>
  <c r="F1130" i="1"/>
  <c r="H1130" i="1"/>
  <c r="I1130" i="1"/>
  <c r="E1130" i="3"/>
  <c r="B1130" i="3"/>
  <c r="A1131" i="3"/>
  <c r="C1130" i="3"/>
  <c r="D1130" i="3"/>
  <c r="B1107" i="2"/>
  <c r="A1108" i="2"/>
  <c r="D1131" i="1" l="1"/>
  <c r="M1131" i="1"/>
  <c r="E1131" i="1"/>
  <c r="N1131" i="1"/>
  <c r="C1131" i="1"/>
  <c r="L1131" i="1"/>
  <c r="I1131" i="1"/>
  <c r="J1131" i="1"/>
  <c r="P1131" i="1"/>
  <c r="Q1131" i="1"/>
  <c r="A1132" i="1"/>
  <c r="G1131" i="1"/>
  <c r="H1131" i="1"/>
  <c r="O1131" i="1"/>
  <c r="B1131" i="1"/>
  <c r="F1131" i="1"/>
  <c r="B1108" i="2"/>
  <c r="A1109" i="2"/>
  <c r="A1132" i="3"/>
  <c r="B1131" i="3"/>
  <c r="C1131" i="3"/>
  <c r="D1131" i="3"/>
  <c r="E1131" i="3"/>
  <c r="A1110" i="2" l="1"/>
  <c r="B1109" i="2"/>
  <c r="C1132" i="3"/>
  <c r="A1133" i="3"/>
  <c r="D1132" i="3"/>
  <c r="B1132" i="3"/>
  <c r="E1132" i="3"/>
  <c r="D1132" i="1"/>
  <c r="M1132" i="1"/>
  <c r="E1132" i="1"/>
  <c r="N1132" i="1"/>
  <c r="C1132" i="1"/>
  <c r="L1132" i="1"/>
  <c r="G1132" i="1"/>
  <c r="H1132" i="1"/>
  <c r="P1132" i="1"/>
  <c r="Q1132" i="1"/>
  <c r="A1133" i="1"/>
  <c r="B1132" i="1"/>
  <c r="J1132" i="1"/>
  <c r="O1132" i="1"/>
  <c r="F1132" i="1"/>
  <c r="I1132" i="1"/>
  <c r="A1134" i="3" l="1"/>
  <c r="E1133" i="3"/>
  <c r="B1133" i="3"/>
  <c r="C1133" i="3"/>
  <c r="D1133" i="3"/>
  <c r="D1133" i="1"/>
  <c r="M1133" i="1"/>
  <c r="E1133" i="1"/>
  <c r="N1133" i="1"/>
  <c r="C1133" i="1"/>
  <c r="L1133" i="1"/>
  <c r="B1133" i="1"/>
  <c r="Q1133" i="1"/>
  <c r="F1133" i="1"/>
  <c r="A1134" i="1"/>
  <c r="P1133" i="1"/>
  <c r="G1133" i="1"/>
  <c r="H1133" i="1"/>
  <c r="I1133" i="1"/>
  <c r="J1133" i="1"/>
  <c r="O1133" i="1"/>
  <c r="D1110" i="2"/>
  <c r="E1110" i="2"/>
  <c r="I1110" i="2"/>
  <c r="B1110" i="2"/>
  <c r="C1110" i="2"/>
  <c r="A1111" i="2"/>
  <c r="J1110" i="2"/>
  <c r="G1110" i="2"/>
  <c r="F1110" i="2"/>
  <c r="H1110" i="2"/>
  <c r="D1134" i="1" l="1"/>
  <c r="M1134" i="1"/>
  <c r="E1134" i="1"/>
  <c r="N1134" i="1"/>
  <c r="C1134" i="1"/>
  <c r="L1134" i="1"/>
  <c r="O1134" i="1"/>
  <c r="P1134" i="1"/>
  <c r="A1135" i="1"/>
  <c r="B1134" i="1"/>
  <c r="F1134" i="1"/>
  <c r="J1134" i="1"/>
  <c r="Q1134" i="1"/>
  <c r="H1134" i="1"/>
  <c r="G1134" i="1"/>
  <c r="I1134" i="1"/>
  <c r="B1111" i="2"/>
  <c r="J1111" i="2"/>
  <c r="C1111" i="2"/>
  <c r="A1112" i="2"/>
  <c r="G1111" i="2"/>
  <c r="D1111" i="2"/>
  <c r="E1111" i="2"/>
  <c r="F1111" i="2"/>
  <c r="H1111" i="2"/>
  <c r="I1111" i="2"/>
  <c r="A1135" i="3"/>
  <c r="D1134" i="3"/>
  <c r="E1134" i="3"/>
  <c r="C1134" i="3"/>
  <c r="B1134" i="3"/>
  <c r="H1112" i="2" l="1"/>
  <c r="I1112" i="2"/>
  <c r="E1112" i="2"/>
  <c r="F1112" i="2"/>
  <c r="G1112" i="2"/>
  <c r="J1112" i="2"/>
  <c r="B1112" i="2"/>
  <c r="C1112" i="2"/>
  <c r="D1112" i="2"/>
  <c r="A1113" i="2"/>
  <c r="D1135" i="3"/>
  <c r="E1135" i="3"/>
  <c r="B1135" i="3"/>
  <c r="C1135" i="3"/>
  <c r="A1136" i="3"/>
  <c r="D1135" i="1"/>
  <c r="M1135" i="1"/>
  <c r="E1135" i="1"/>
  <c r="N1135" i="1"/>
  <c r="C1135" i="1"/>
  <c r="L1135" i="1"/>
  <c r="I1135" i="1"/>
  <c r="J1135" i="1"/>
  <c r="A1136" i="1"/>
  <c r="B1135" i="1"/>
  <c r="F1135" i="1"/>
  <c r="H1135" i="1"/>
  <c r="G1135" i="1"/>
  <c r="Q1135" i="1"/>
  <c r="O1135" i="1"/>
  <c r="P1135" i="1"/>
  <c r="D1136" i="1" l="1"/>
  <c r="M1136" i="1"/>
  <c r="E1136" i="1"/>
  <c r="N1136" i="1"/>
  <c r="C1136" i="1"/>
  <c r="L1136" i="1"/>
  <c r="G1136" i="1"/>
  <c r="H1136" i="1"/>
  <c r="A1137" i="1"/>
  <c r="B1136" i="1"/>
  <c r="F1136" i="1"/>
  <c r="J1136" i="1"/>
  <c r="Q1136" i="1"/>
  <c r="O1136" i="1"/>
  <c r="P1136" i="1"/>
  <c r="I1136" i="1"/>
  <c r="A1137" i="3"/>
  <c r="D1136" i="3"/>
  <c r="B1136" i="3"/>
  <c r="C1136" i="3"/>
  <c r="E1136" i="3"/>
  <c r="F1113" i="2"/>
  <c r="G1113" i="2"/>
  <c r="C1113" i="2"/>
  <c r="A1114" i="2"/>
  <c r="I1113" i="2"/>
  <c r="J1113" i="2"/>
  <c r="D1113" i="2"/>
  <c r="E1113" i="2"/>
  <c r="H1113" i="2"/>
  <c r="B1113" i="2"/>
  <c r="D1114" i="2" l="1"/>
  <c r="E1114" i="2"/>
  <c r="I1114" i="2"/>
  <c r="A1115" i="2"/>
  <c r="B1114" i="2"/>
  <c r="J1114" i="2"/>
  <c r="G1114" i="2"/>
  <c r="F1114" i="2"/>
  <c r="C1114" i="2"/>
  <c r="H1114" i="2"/>
  <c r="B1137" i="3"/>
  <c r="D1137" i="3"/>
  <c r="C1137" i="3"/>
  <c r="E1137" i="3"/>
  <c r="A1138" i="3"/>
  <c r="D1137" i="1"/>
  <c r="M1137" i="1"/>
  <c r="E1137" i="1"/>
  <c r="N1137" i="1"/>
  <c r="C1137" i="1"/>
  <c r="L1137" i="1"/>
  <c r="B1137" i="1"/>
  <c r="Q1137" i="1"/>
  <c r="F1137" i="1"/>
  <c r="A1138" i="1"/>
  <c r="G1137" i="1"/>
  <c r="H1137" i="1"/>
  <c r="O1137" i="1"/>
  <c r="J1137" i="1"/>
  <c r="P1137" i="1"/>
  <c r="I1137" i="1"/>
  <c r="E1138" i="3" l="1"/>
  <c r="D1138" i="3"/>
  <c r="A1139" i="3"/>
  <c r="B1138" i="3"/>
  <c r="C1138" i="3"/>
  <c r="B1115" i="2"/>
  <c r="J1115" i="2"/>
  <c r="C1115" i="2"/>
  <c r="A1116" i="2"/>
  <c r="G1115" i="2"/>
  <c r="D1115" i="2"/>
  <c r="E1115" i="2"/>
  <c r="F1115" i="2"/>
  <c r="H1115" i="2"/>
  <c r="I1115" i="2"/>
  <c r="D1138" i="1"/>
  <c r="M1138" i="1"/>
  <c r="E1138" i="1"/>
  <c r="N1138" i="1"/>
  <c r="C1138" i="1"/>
  <c r="L1138" i="1"/>
  <c r="O1138" i="1"/>
  <c r="P1138" i="1"/>
  <c r="F1138" i="1"/>
  <c r="G1138" i="1"/>
  <c r="H1138" i="1"/>
  <c r="B1138" i="1"/>
  <c r="I1138" i="1"/>
  <c r="J1138" i="1"/>
  <c r="Q1138" i="1"/>
  <c r="A1139" i="1"/>
  <c r="D1139" i="1" l="1"/>
  <c r="M1139" i="1"/>
  <c r="E1139" i="1"/>
  <c r="N1139" i="1"/>
  <c r="C1139" i="1"/>
  <c r="L1139" i="1"/>
  <c r="I1139" i="1"/>
  <c r="J1139" i="1"/>
  <c r="F1139" i="1"/>
  <c r="G1139" i="1"/>
  <c r="H1139" i="1"/>
  <c r="Q1139" i="1"/>
  <c r="A1140" i="1"/>
  <c r="O1139" i="1"/>
  <c r="P1139" i="1"/>
  <c r="B1139" i="1"/>
  <c r="C1139" i="3"/>
  <c r="B1139" i="3"/>
  <c r="D1139" i="3"/>
  <c r="E1139" i="3"/>
  <c r="A1140" i="3"/>
  <c r="H1116" i="2"/>
  <c r="I1116" i="2"/>
  <c r="E1116" i="2"/>
  <c r="D1116" i="2"/>
  <c r="F1116" i="2"/>
  <c r="G1116" i="2"/>
  <c r="B1116" i="2"/>
  <c r="C1116" i="2"/>
  <c r="A1117" i="2"/>
  <c r="J1116" i="2"/>
  <c r="F1117" i="2" l="1"/>
  <c r="G1117" i="2"/>
  <c r="C1117" i="2"/>
  <c r="A1118" i="2"/>
  <c r="H1117" i="2"/>
  <c r="I1117" i="2"/>
  <c r="J1117" i="2"/>
  <c r="D1117" i="2"/>
  <c r="E1117" i="2"/>
  <c r="B1117" i="2"/>
  <c r="C1140" i="3"/>
  <c r="E1140" i="3"/>
  <c r="B1140" i="3"/>
  <c r="A1141" i="3"/>
  <c r="D1140" i="3"/>
  <c r="D1140" i="1"/>
  <c r="M1140" i="1"/>
  <c r="E1140" i="1"/>
  <c r="N1140" i="1"/>
  <c r="C1140" i="1"/>
  <c r="L1140" i="1"/>
  <c r="G1140" i="1"/>
  <c r="H1140" i="1"/>
  <c r="F1140" i="1"/>
  <c r="I1140" i="1"/>
  <c r="J1140" i="1"/>
  <c r="O1140" i="1"/>
  <c r="B1140" i="1"/>
  <c r="A1141" i="1"/>
  <c r="Q1140" i="1"/>
  <c r="P1140" i="1"/>
  <c r="A1142" i="3" l="1"/>
  <c r="B1141" i="3"/>
  <c r="C1141" i="3"/>
  <c r="D1141" i="3"/>
  <c r="E1141" i="3"/>
  <c r="D1141" i="1"/>
  <c r="M1141" i="1"/>
  <c r="E1141" i="1"/>
  <c r="N1141" i="1"/>
  <c r="C1141" i="1"/>
  <c r="L1141" i="1"/>
  <c r="B1141" i="1"/>
  <c r="Q1141" i="1"/>
  <c r="F1141" i="1"/>
  <c r="A1142" i="1"/>
  <c r="H1141" i="1"/>
  <c r="I1141" i="1"/>
  <c r="J1141" i="1"/>
  <c r="O1141" i="1"/>
  <c r="P1141" i="1"/>
  <c r="G1141" i="1"/>
  <c r="D1118" i="2"/>
  <c r="E1118" i="2"/>
  <c r="I1118" i="2"/>
  <c r="J1118" i="2"/>
  <c r="A1119" i="2"/>
  <c r="B1118" i="2"/>
  <c r="G1118" i="2"/>
  <c r="F1118" i="2"/>
  <c r="H1118" i="2"/>
  <c r="C1118" i="2"/>
  <c r="D1142" i="1" l="1"/>
  <c r="M1142" i="1"/>
  <c r="E1142" i="1"/>
  <c r="N1142" i="1"/>
  <c r="C1142" i="1"/>
  <c r="L1142" i="1"/>
  <c r="O1142" i="1"/>
  <c r="P1142" i="1"/>
  <c r="H1142" i="1"/>
  <c r="I1142" i="1"/>
  <c r="J1142" i="1"/>
  <c r="F1142" i="1"/>
  <c r="B1142" i="1"/>
  <c r="A1143" i="1"/>
  <c r="G1142" i="1"/>
  <c r="Q1142" i="1"/>
  <c r="B1119" i="2"/>
  <c r="J1119" i="2"/>
  <c r="C1119" i="2"/>
  <c r="A1120" i="2"/>
  <c r="G1119" i="2"/>
  <c r="D1119" i="2"/>
  <c r="F1119" i="2"/>
  <c r="H1119" i="2"/>
  <c r="I1119" i="2"/>
  <c r="E1119" i="2"/>
  <c r="A1143" i="3"/>
  <c r="E1142" i="3"/>
  <c r="B1142" i="3"/>
  <c r="C1142" i="3"/>
  <c r="D1142" i="3"/>
  <c r="D1143" i="1" l="1"/>
  <c r="M1143" i="1"/>
  <c r="E1143" i="1"/>
  <c r="N1143" i="1"/>
  <c r="C1143" i="1"/>
  <c r="L1143" i="1"/>
  <c r="I1143" i="1"/>
  <c r="J1143" i="1"/>
  <c r="H1143" i="1"/>
  <c r="O1143" i="1"/>
  <c r="P1143" i="1"/>
  <c r="F1143" i="1"/>
  <c r="G1143" i="1"/>
  <c r="Q1143" i="1"/>
  <c r="A1144" i="1"/>
  <c r="B1143" i="1"/>
  <c r="H1120" i="2"/>
  <c r="I1120" i="2"/>
  <c r="E1120" i="2"/>
  <c r="C1120" i="2"/>
  <c r="D1120" i="2"/>
  <c r="F1120" i="2"/>
  <c r="B1120" i="2"/>
  <c r="G1120" i="2"/>
  <c r="A1121" i="2"/>
  <c r="J1120" i="2"/>
  <c r="D1143" i="3"/>
  <c r="C1143" i="3"/>
  <c r="E1143" i="3"/>
  <c r="A1144" i="3"/>
  <c r="B1143" i="3"/>
  <c r="D1144" i="1" l="1"/>
  <c r="M1144" i="1"/>
  <c r="E1144" i="1"/>
  <c r="N1144" i="1"/>
  <c r="C1144" i="1"/>
  <c r="L1144" i="1"/>
  <c r="G1144" i="1"/>
  <c r="H1144" i="1"/>
  <c r="J1144" i="1"/>
  <c r="O1144" i="1"/>
  <c r="P1144" i="1"/>
  <c r="A1145" i="1"/>
  <c r="I1144" i="1"/>
  <c r="B1144" i="1"/>
  <c r="F1144" i="1"/>
  <c r="Q1144" i="1"/>
  <c r="E1144" i="3"/>
  <c r="A1145" i="3"/>
  <c r="B1144" i="3"/>
  <c r="C1144" i="3"/>
  <c r="D1144" i="3"/>
  <c r="F1121" i="2"/>
  <c r="G1121" i="2"/>
  <c r="C1121" i="2"/>
  <c r="A1122" i="2"/>
  <c r="E1121" i="2"/>
  <c r="H1121" i="2"/>
  <c r="I1121" i="2"/>
  <c r="D1121" i="2"/>
  <c r="J1121" i="2"/>
  <c r="B1121" i="2"/>
  <c r="D1145" i="1" l="1"/>
  <c r="M1145" i="1"/>
  <c r="E1145" i="1"/>
  <c r="N1145" i="1"/>
  <c r="C1145" i="1"/>
  <c r="L1145" i="1"/>
  <c r="B1145" i="1"/>
  <c r="Q1145" i="1"/>
  <c r="A1146" i="1"/>
  <c r="F1145" i="1"/>
  <c r="J1145" i="1"/>
  <c r="P1145" i="1"/>
  <c r="O1145" i="1"/>
  <c r="G1145" i="1"/>
  <c r="I1145" i="1"/>
  <c r="H1145" i="1"/>
  <c r="B1145" i="3"/>
  <c r="D1145" i="3"/>
  <c r="E1145" i="3"/>
  <c r="A1146" i="3"/>
  <c r="C1145" i="3"/>
  <c r="D1122" i="2"/>
  <c r="E1122" i="2"/>
  <c r="I1122" i="2"/>
  <c r="H1122" i="2"/>
  <c r="J1122" i="2"/>
  <c r="A1123" i="2"/>
  <c r="B1122" i="2"/>
  <c r="G1122" i="2"/>
  <c r="C1122" i="2"/>
  <c r="F1122" i="2"/>
  <c r="E1146" i="3" l="1"/>
  <c r="D1146" i="3"/>
  <c r="A1147" i="3"/>
  <c r="C1146" i="3"/>
  <c r="B1146" i="3"/>
  <c r="B1123" i="2"/>
  <c r="J1123" i="2"/>
  <c r="C1123" i="2"/>
  <c r="A1124" i="2"/>
  <c r="G1123" i="2"/>
  <c r="F1123" i="2"/>
  <c r="H1123" i="2"/>
  <c r="I1123" i="2"/>
  <c r="E1123" i="2"/>
  <c r="D1123" i="2"/>
  <c r="D1146" i="1"/>
  <c r="M1146" i="1"/>
  <c r="E1146" i="1"/>
  <c r="N1146" i="1"/>
  <c r="C1146" i="1"/>
  <c r="L1146" i="1"/>
  <c r="O1146" i="1"/>
  <c r="P1146" i="1"/>
  <c r="J1146" i="1"/>
  <c r="Q1146" i="1"/>
  <c r="A1147" i="1"/>
  <c r="I1146" i="1"/>
  <c r="G1146" i="1"/>
  <c r="H1146" i="1"/>
  <c r="F1146" i="1"/>
  <c r="B1146" i="1"/>
  <c r="D1147" i="3" l="1"/>
  <c r="E1147" i="3"/>
  <c r="A1148" i="3"/>
  <c r="B1147" i="3"/>
  <c r="C1147" i="3"/>
  <c r="D1147" i="1"/>
  <c r="M1147" i="1"/>
  <c r="E1147" i="1"/>
  <c r="N1147" i="1"/>
  <c r="C1147" i="1"/>
  <c r="L1147" i="1"/>
  <c r="I1147" i="1"/>
  <c r="J1147" i="1"/>
  <c r="P1147" i="1"/>
  <c r="A1148" i="1"/>
  <c r="Q1147" i="1"/>
  <c r="G1147" i="1"/>
  <c r="B1147" i="1"/>
  <c r="F1147" i="1"/>
  <c r="H1147" i="1"/>
  <c r="O1147" i="1"/>
  <c r="H1124" i="2"/>
  <c r="I1124" i="2"/>
  <c r="E1124" i="2"/>
  <c r="B1124" i="2"/>
  <c r="C1124" i="2"/>
  <c r="D1124" i="2"/>
  <c r="F1124" i="2"/>
  <c r="G1124" i="2"/>
  <c r="A1125" i="2"/>
  <c r="J1124" i="2"/>
  <c r="F1125" i="2" l="1"/>
  <c r="G1125" i="2"/>
  <c r="C1125" i="2"/>
  <c r="A1126" i="2"/>
  <c r="D1125" i="2"/>
  <c r="E1125" i="2"/>
  <c r="H1125" i="2"/>
  <c r="I1125" i="2"/>
  <c r="J1125" i="2"/>
  <c r="B1125" i="2"/>
  <c r="C1148" i="3"/>
  <c r="D1148" i="3"/>
  <c r="B1148" i="3"/>
  <c r="E1148" i="3"/>
  <c r="D1148" i="1"/>
  <c r="M1148" i="1"/>
  <c r="E1148" i="1"/>
  <c r="N1148" i="1"/>
  <c r="C1148" i="1"/>
  <c r="L1148" i="1"/>
  <c r="G1148" i="1"/>
  <c r="H1148" i="1"/>
  <c r="P1148" i="1"/>
  <c r="Q1148" i="1"/>
  <c r="I1148" i="1"/>
  <c r="J1148" i="1"/>
  <c r="O1148" i="1"/>
  <c r="B1148" i="1"/>
  <c r="F1148" i="1"/>
  <c r="D1126" i="2" l="1"/>
  <c r="E1126" i="2"/>
  <c r="I1126" i="2"/>
  <c r="G1126" i="2"/>
  <c r="H1126" i="2"/>
  <c r="J1126" i="2"/>
  <c r="B1126" i="2"/>
  <c r="A1127" i="2"/>
  <c r="C1126" i="2"/>
  <c r="F1126" i="2"/>
  <c r="B1127" i="2" l="1"/>
  <c r="J1127" i="2"/>
  <c r="C1127" i="2"/>
  <c r="A1128" i="2"/>
  <c r="G1127" i="2"/>
  <c r="I1127" i="2"/>
  <c r="F1127" i="2"/>
  <c r="H1127" i="2"/>
  <c r="E1127" i="2"/>
  <c r="D1127" i="2"/>
  <c r="H1128" i="2" l="1"/>
  <c r="I1128" i="2"/>
  <c r="E1128" i="2"/>
  <c r="B1128" i="2"/>
  <c r="C1128" i="2"/>
  <c r="D1128" i="2"/>
  <c r="F1128" i="2"/>
  <c r="G1128" i="2"/>
  <c r="J1128" i="2"/>
  <c r="A1129" i="2"/>
  <c r="F1129" i="2" l="1"/>
  <c r="G1129" i="2"/>
  <c r="C1129" i="2"/>
  <c r="A1130" i="2"/>
  <c r="B1129" i="2"/>
  <c r="D1129" i="2"/>
  <c r="E1129" i="2"/>
  <c r="I1129" i="2"/>
  <c r="J1129" i="2"/>
  <c r="H1129" i="2"/>
  <c r="D1130" i="2" l="1"/>
  <c r="E1130" i="2"/>
  <c r="I1130" i="2"/>
  <c r="F1130" i="2"/>
  <c r="G1130" i="2"/>
  <c r="H1130" i="2"/>
  <c r="B1130" i="2"/>
  <c r="A1131" i="2"/>
  <c r="C1130" i="2"/>
  <c r="J1130" i="2"/>
  <c r="B1131" i="2" l="1"/>
  <c r="J1131" i="2"/>
  <c r="C1131" i="2"/>
  <c r="G1131" i="2"/>
  <c r="H1131" i="2"/>
  <c r="I1131" i="2"/>
  <c r="A1132" i="2"/>
  <c r="F1131" i="2"/>
  <c r="E1131" i="2"/>
  <c r="D1131" i="2"/>
  <c r="H1132" i="2" l="1"/>
  <c r="E1132" i="2"/>
  <c r="I1132" i="2"/>
  <c r="J1132" i="2"/>
  <c r="A1133" i="2"/>
  <c r="B1132" i="2"/>
  <c r="C1132" i="2"/>
  <c r="D1132" i="2"/>
  <c r="F1132" i="2"/>
  <c r="G1132" i="2"/>
  <c r="F1133" i="2" l="1"/>
  <c r="H1133" i="2"/>
  <c r="I1133" i="2"/>
  <c r="J1133" i="2"/>
  <c r="D1133" i="2"/>
  <c r="E1133" i="2"/>
  <c r="G1133" i="2"/>
  <c r="C1133" i="2"/>
  <c r="A1134" i="2"/>
  <c r="B1133" i="2"/>
  <c r="D1134" i="2" l="1"/>
  <c r="G1134" i="2"/>
  <c r="H1134" i="2"/>
  <c r="I1134" i="2"/>
  <c r="J1134" i="2"/>
  <c r="A1135" i="2"/>
  <c r="F1134" i="2"/>
  <c r="C1134" i="2"/>
  <c r="B1134" i="2"/>
  <c r="E1134" i="2"/>
  <c r="B1135" i="2" l="1"/>
  <c r="J1135" i="2"/>
  <c r="F1135" i="2"/>
  <c r="G1135" i="2"/>
  <c r="H1135" i="2"/>
  <c r="C1135" i="2"/>
  <c r="D1135" i="2"/>
  <c r="E1135" i="2"/>
  <c r="I1135" i="2"/>
  <c r="A1136" i="2"/>
  <c r="H1136" i="2" l="1"/>
  <c r="E1136" i="2"/>
  <c r="F1136" i="2"/>
  <c r="G1136" i="2"/>
  <c r="C1136" i="2"/>
  <c r="D1136" i="2"/>
  <c r="I1136" i="2"/>
  <c r="B1136" i="2"/>
  <c r="J1136" i="2"/>
  <c r="A1137" i="2"/>
  <c r="F1137" i="2" l="1"/>
  <c r="D1137" i="2"/>
  <c r="E1137" i="2"/>
  <c r="G1137" i="2"/>
  <c r="I1137" i="2"/>
  <c r="J1137" i="2"/>
  <c r="A1138" i="2"/>
  <c r="H1137" i="2"/>
  <c r="B1137" i="2"/>
  <c r="C1137" i="2"/>
  <c r="D1138" i="2" l="1"/>
  <c r="C1138" i="2"/>
  <c r="E1138" i="2"/>
  <c r="F1138" i="2"/>
  <c r="A1139" i="2"/>
  <c r="J1138" i="2"/>
  <c r="B1138" i="2"/>
  <c r="G1138" i="2"/>
  <c r="H1138" i="2"/>
  <c r="I1138" i="2"/>
  <c r="B1139" i="2" l="1"/>
  <c r="J1139" i="2"/>
  <c r="C1139" i="2"/>
  <c r="D1139" i="2"/>
  <c r="E1139" i="2"/>
  <c r="F1139" i="2"/>
  <c r="G1139" i="2"/>
  <c r="A1140" i="2"/>
  <c r="I1139" i="2"/>
  <c r="H1139" i="2"/>
  <c r="H1140" i="2" l="1"/>
  <c r="B1140" i="2"/>
  <c r="A1141" i="2"/>
  <c r="C1140" i="2"/>
  <c r="D1140" i="2"/>
  <c r="G1140" i="2"/>
  <c r="I1140" i="2"/>
  <c r="J1140" i="2"/>
  <c r="F1140" i="2"/>
  <c r="E1140" i="2"/>
  <c r="F1141" i="2" l="1"/>
  <c r="J1141" i="2"/>
  <c r="B1141" i="2"/>
  <c r="A1142" i="2"/>
  <c r="C1141" i="2"/>
  <c r="I1141" i="2"/>
  <c r="D1141" i="2"/>
  <c r="E1141" i="2"/>
  <c r="G1141" i="2"/>
  <c r="H1141" i="2"/>
  <c r="D1142" i="2" l="1"/>
  <c r="I1142" i="2"/>
  <c r="J1142" i="2"/>
  <c r="B1142" i="2"/>
  <c r="A1143" i="2"/>
  <c r="C1142" i="2"/>
  <c r="E1142" i="2"/>
  <c r="F1142" i="2"/>
  <c r="H1142" i="2"/>
  <c r="G1142" i="2"/>
  <c r="B1143" i="2" l="1"/>
  <c r="J1143" i="2"/>
  <c r="H1143" i="2"/>
  <c r="I1143" i="2"/>
  <c r="A1144" i="2"/>
  <c r="F1143" i="2"/>
  <c r="G1143" i="2"/>
  <c r="E1143" i="2"/>
  <c r="C1143" i="2"/>
  <c r="D1143" i="2"/>
  <c r="H1144" i="2" l="1"/>
  <c r="G1144" i="2"/>
  <c r="I1144" i="2"/>
  <c r="J1144" i="2"/>
  <c r="B1144" i="2"/>
  <c r="A1145" i="2"/>
  <c r="C1144" i="2"/>
  <c r="D1144" i="2"/>
  <c r="F1144" i="2"/>
  <c r="E1144" i="2"/>
  <c r="F1145" i="2" l="1"/>
  <c r="G1145" i="2"/>
  <c r="H1145" i="2"/>
  <c r="I1145" i="2"/>
  <c r="B1145" i="2"/>
  <c r="C1145" i="2"/>
  <c r="D1145" i="2"/>
  <c r="A1146" i="2"/>
  <c r="J1145" i="2"/>
  <c r="E1145" i="2"/>
  <c r="D1146" i="2" l="1"/>
  <c r="F1146" i="2"/>
  <c r="G1146" i="2"/>
  <c r="H1146" i="2"/>
  <c r="E1146" i="2"/>
  <c r="I1146" i="2"/>
  <c r="J1146" i="2"/>
  <c r="C1146" i="2"/>
  <c r="A1147" i="2"/>
  <c r="B1146" i="2"/>
  <c r="B1147" i="2" l="1"/>
  <c r="J1147" i="2"/>
  <c r="E1147" i="2"/>
  <c r="F1147" i="2"/>
  <c r="G1147" i="2"/>
  <c r="A1148" i="2"/>
  <c r="I1147" i="2"/>
  <c r="C1147" i="2"/>
  <c r="H1147" i="2"/>
  <c r="D1147" i="2"/>
  <c r="H1148" i="2" l="1"/>
  <c r="D1148" i="2"/>
  <c r="E1148" i="2"/>
  <c r="F1148" i="2"/>
  <c r="B1148" i="2"/>
  <c r="C1148" i="2"/>
  <c r="J1148" i="2"/>
  <c r="I1148" i="2"/>
  <c r="G1148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<sst xmlns="http://schemas.openxmlformats.org/spreadsheetml/2006/main" count="161" uniqueCount="74">
  <si>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</si>
  <si>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</si>
  <si>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</si>
  <si>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</si>
  <si>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</si>
  <si>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</si>
  <si>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</si>
  <si>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</si>
  <si>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</si>
  <si>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</si>
  <si>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</si>
  <si>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</si>
  <si>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</si>
  <si>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</si>
  <si>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</si>
  <si>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</si>
  <si>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</si>
  <si>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</si>
  <si>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</si>
  <si>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</si>
  <si>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</si>
  <si>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</si>
  <si>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</si>
  <si>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</si>
  <si>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</si>
  <si>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October 06, 2014 -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</si>
  <si>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</si>
  <si>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</si>
  <si>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</si>
  <si>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</si>
  <si>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</si>
  <si>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</si>
  <si>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</si>
  <si>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</si>
  <si>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</si>
  <si>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</si>
  <si>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</si>
  <si>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</si>
  <si>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</si>
  <si>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</si>
  <si>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</si>
  <si>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</si>
  <si>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</si>
  <si>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</si>
  <si>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</si>
  <si>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</si>
  <si>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</si>
  <si>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</si>
  <si>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</si>
  <si>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</si>
  <si>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</si>
  <si>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</si>
  <si>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</si>
  <si>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</si>
  <si>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</si>
  <si>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</si>
  <si>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</si>
  <si>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</si>
  <si>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</si>
  <si>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</si>
  <si>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</si>
  <si>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</si>
  <si>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</si>
  <si>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</si>
  <si>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</si>
  <si>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</si>
  <si>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</si>
  <si>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</si>
  <si>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</si>
  <si>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Tab 5 of 5</t>
  </si>
  <si>
    <t>Tab 4 of 5</t>
  </si>
  <si>
    <t>Tab 3 of 5</t>
  </si>
  <si>
    <t>Tab 2 of 5</t>
  </si>
  <si>
    <t>Attachment No.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</si>
</sst>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99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166" fontId="3" fillId="6" borderId="0" xfId="4" applyNumberFormat="1" applyFont="1" applyFill="1" applyAlignment="1">
      <alignment horizontal="center"/>
    </xf>
    <xf numFmtId="167" fontId="5" fillId="7" borderId="0" xfId="4" applyNumberFormat="1" applyFont="1" applyFill="1" applyAlignment="1">
      <alignment horizontal="center"/>
    </xf>
    <xf numFmtId="167" fontId="5" fillId="8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9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10" borderId="0" xfId="4" applyNumberFormat="1" applyFont="1" applyFill="1" applyAlignment="1">
      <alignment horizontal="center"/>
    </xf>
    <xf numFmtId="0" fontId="6" fillId="10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11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11" borderId="0" xfId="4" applyNumberFormat="1" applyFont="1" applyFill="1" applyAlignment="1">
      <alignment horizontal="center"/>
    </xf>
    <xf numFmtId="171" fontId="6" fillId="12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12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3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11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5" borderId="0" xfId="3" applyFont="1" applyFill="1" applyAlignment="1">
      <alignment horizontal="center"/>
    </xf>
    <xf numFmtId="0" fontId="12" fillId="15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6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3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10" borderId="0" xfId="4" quotePrefix="1" applyNumberFormat="1" applyFont="1" applyFill="1" applyAlignment="1">
      <alignment horizontal="center"/>
    </xf>
    <xf numFmtId="15" fontId="6" fillId="10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9" borderId="0" xfId="4" quotePrefix="1" applyFont="1" applyFill="1" applyAlignment="1">
      <alignment horizontal="center"/>
    </xf>
    <xf numFmtId="0" fontId="6" fillId="14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12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14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45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urrency" xfId="2" builtinId="4"/>
    <cellStyle name="Normal" xfId="0" builtinId="0"/>
    <cellStyle name="Normal 2" xfId="28"/>
    <cellStyle name="Normal 2 2" xfId="29"/>
    <cellStyle name="Normal 2 2 2" xfId="30"/>
    <cellStyle name="Normal 2 3" xfId="31"/>
    <cellStyle name="Normal 2 3 2" xfId="32"/>
    <cellStyle name="Normal 2 4" xfId="33"/>
    <cellStyle name="Normal 2 4 2" xfId="34"/>
    <cellStyle name="Normal 2 5" xfId="35"/>
    <cellStyle name="Normal 2 6" xfId="36"/>
    <cellStyle name="Normal 3" xfId="37"/>
    <cellStyle name="Normal 4" xfId="38"/>
    <cellStyle name="Normal 5" xfId="39"/>
    <cellStyle name="Normal 5 2" xfId="40"/>
    <cellStyle name="Normal 6" xfId="41"/>
    <cellStyle name="Normal 6 2" xfId="42"/>
    <cellStyle name="Normal 7" xfId="43"/>
    <cellStyle name="Normal 7 2" xfId="44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6" fmlaRange="CONTROL!$B$16:$B$18" sel="2" val="0"/>
</file>

<file path=xl/ctrlProps/ctrlProp2.xml><?xml version="1.0" encoding="utf-8"?>
<formControlPr xmlns="http://schemas.microsoft.com/office/spreadsheetml/2009/9/main" objectType="Drop" dropLines="2" dropStyle="combo" dx="18" fmlaLink="CONTROL!$C$33" fmlaRange="CONTROL!$B$33:$B$34" val="0"/>
</file>

<file path=xl/ctrlProps/ctrlProp3.xml><?xml version="1.0" encoding="utf-8"?>
<formControlPr xmlns="http://schemas.microsoft.com/office/spreadsheetml/2009/9/main" objectType="Drop" dropLines="3" dropStyle="combo" dx="18" fmlaLink="CONTROL!$C$10" fmlaRange="CONTROL!$B$10:$B$12" sel="2" val="0"/>
</file>

<file path=xl/ctrlProps/ctrlProp4.xml><?xml version="1.0" encoding="utf-8"?>
<formControlPr xmlns="http://schemas.microsoft.com/office/spreadsheetml/2009/9/main" objectType="Drop" dropLines="2" dropStyle="combo" dx="18" fmlaLink="CONTROL!$C$29" fmlaRange="CONTROL!$B$29:$B$30" val="0"/>
</file>

<file path=xl/ctrlProps/ctrlProp5.xml><?xml version="1.0" encoding="utf-8"?>
<formControlPr xmlns="http://schemas.microsoft.com/office/spreadsheetml/2009/9/main" objectType="Drop" dropLines="3" dropStyle="combo" dx="18" fmlaLink="CONTROL!$C$23" fmlaRange="CONTROL!$B$23:$B$25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10.%20October\141006%202014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63"/>
  <sheetViews>
    <sheetView tabSelected="1"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7" t="s">
        <v>64</v>
      </c>
    </row>
    <row r="2" spans="1:19" ht="15.75">
      <c r="A2" s="87" t="s">
        <v>65</v>
      </c>
    </row>
    <row r="3" spans="1:19" ht="15.75">
      <c r="A3" s="87" t="s">
        <v>66</v>
      </c>
    </row>
    <row r="4" spans="1:19" ht="15.75">
      <c r="A4" s="87" t="s">
        <v>67</v>
      </c>
    </row>
    <row r="5" spans="1:19" ht="15.75">
      <c r="A5" s="87" t="s">
        <v>73</v>
      </c>
    </row>
    <row r="6" spans="1:19" ht="15.75">
      <c r="A6" s="87" t="s">
        <v>68</v>
      </c>
    </row>
    <row r="8" spans="1:19" ht="24.75" customHeight="1">
      <c r="A8" s="34" t="s">
        <v>26</v>
      </c>
    </row>
    <row r="9" spans="1:19" ht="15" customHeight="1">
      <c r="A9" s="33" t="s">
        <v>25</v>
      </c>
    </row>
    <row r="10" spans="1:19" ht="15" customHeight="1">
      <c r="A10" s="1"/>
      <c r="G10" s="32"/>
      <c r="N10" s="31"/>
    </row>
    <row r="11" spans="1:19" ht="15" customHeight="1">
      <c r="C11" s="30" t="s">
        <v>24</v>
      </c>
      <c r="D11" s="29">
        <f>1-0.209</f>
        <v>0.79100000000000004</v>
      </c>
      <c r="E11" s="30" t="s">
        <v>23</v>
      </c>
      <c r="F11" s="29">
        <f>1+0.209</f>
        <v>1.2090000000000001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8"/>
      <c r="L13" s="88" t="s">
        <v>22</v>
      </c>
      <c r="M13" s="88"/>
      <c r="N13" s="88"/>
      <c r="O13" s="88"/>
      <c r="P13" s="88"/>
      <c r="Q13" s="88"/>
      <c r="R13" s="88"/>
      <c r="S13" s="88"/>
    </row>
    <row r="14" spans="1:19" ht="15" customHeight="1">
      <c r="B14" s="10"/>
      <c r="C14" s="10"/>
      <c r="D14" s="10"/>
      <c r="E14" s="10"/>
      <c r="F14" s="10"/>
      <c r="G14" s="10"/>
      <c r="I14" s="10"/>
      <c r="K14" s="27"/>
      <c r="L14" s="88" t="s">
        <v>21</v>
      </c>
      <c r="M14" s="88"/>
      <c r="N14" s="88"/>
      <c r="O14" s="88"/>
      <c r="P14" s="88"/>
      <c r="Q14" s="88"/>
      <c r="R14" s="88"/>
      <c r="S14" s="88"/>
    </row>
    <row r="15" spans="1:19" s="21" customFormat="1" ht="112.5" customHeight="1">
      <c r="B15" s="24" t="s">
        <v>20</v>
      </c>
      <c r="C15" s="24" t="s">
        <v>19</v>
      </c>
      <c r="D15" s="24" t="s">
        <v>18</v>
      </c>
      <c r="E15" s="24" t="s">
        <v>17</v>
      </c>
      <c r="F15" s="23" t="s">
        <v>16</v>
      </c>
      <c r="G15" s="24" t="s">
        <v>15</v>
      </c>
      <c r="H15" s="23" t="s">
        <v>14</v>
      </c>
      <c r="I15" s="24" t="s">
        <v>13</v>
      </c>
      <c r="J15" s="23" t="s">
        <v>12</v>
      </c>
      <c r="K15" s="26" t="s">
        <v>11</v>
      </c>
      <c r="L15" s="22" t="s">
        <v>10</v>
      </c>
      <c r="M15" s="22" t="s">
        <v>9</v>
      </c>
      <c r="N15" s="22" t="s">
        <v>8</v>
      </c>
      <c r="O15" s="22" t="s">
        <v>7</v>
      </c>
      <c r="P15" s="22" t="s">
        <v>6</v>
      </c>
      <c r="Q15" s="22" t="s">
        <v>5</v>
      </c>
      <c r="R15" s="22" t="s">
        <v>4</v>
      </c>
      <c r="S15" s="25" t="s">
        <v>3</v>
      </c>
    </row>
    <row r="16" spans="1:19" s="21" customFormat="1" ht="15" customHeight="1">
      <c r="A16" s="23" t="s">
        <v>2</v>
      </c>
      <c r="B16" s="24" t="s">
        <v>1</v>
      </c>
      <c r="C16" s="24" t="s">
        <v>1</v>
      </c>
      <c r="D16" s="24" t="s">
        <v>1</v>
      </c>
      <c r="E16" s="24" t="s">
        <v>1</v>
      </c>
      <c r="F16" s="23" t="s">
        <v>1</v>
      </c>
      <c r="G16" s="24" t="s">
        <v>1</v>
      </c>
      <c r="H16" s="23" t="s">
        <v>1</v>
      </c>
      <c r="I16" s="24" t="s">
        <v>1</v>
      </c>
      <c r="J16" s="23" t="s">
        <v>1</v>
      </c>
      <c r="K16" s="23" t="s">
        <v>1</v>
      </c>
      <c r="L16" s="22" t="s">
        <v>0</v>
      </c>
      <c r="M16" s="22" t="s">
        <v>0</v>
      </c>
      <c r="N16" s="22" t="s">
        <v>0</v>
      </c>
      <c r="O16" s="22" t="s">
        <v>0</v>
      </c>
      <c r="P16" s="22" t="s">
        <v>0</v>
      </c>
      <c r="Q16" s="22" t="s">
        <v>0</v>
      </c>
      <c r="R16" s="22" t="s">
        <v>0</v>
      </c>
      <c r="S16" s="22" t="s">
        <v>0</v>
      </c>
    </row>
    <row r="17" spans="1:19" ht="15" customHeight="1">
      <c r="A17" s="13">
        <v>41640</v>
      </c>
      <c r="B17" s="8">
        <v>4.5403508981821297</v>
      </c>
      <c r="C17" s="8">
        <v>4.5453053729014501</v>
      </c>
      <c r="D17" s="8">
        <v>4.5474406031906298</v>
      </c>
      <c r="E17" s="12">
        <v>4.5470654716081098</v>
      </c>
      <c r="F17" s="4">
        <v>5.2054822160436602</v>
      </c>
      <c r="G17" s="8">
        <v>4.5299185954854799</v>
      </c>
      <c r="H17" s="4">
        <v>5.1810010193679901</v>
      </c>
      <c r="I17" s="8">
        <v>4.5333202317294603</v>
      </c>
      <c r="J17" s="4">
        <v>4.407</v>
      </c>
      <c r="K17" s="4">
        <v>4.4959996929375601</v>
      </c>
      <c r="L17" s="9">
        <v>29.253942540000001</v>
      </c>
      <c r="M17" s="9">
        <v>12.063650000000001</v>
      </c>
      <c r="N17" s="9">
        <v>4.9444999999999997</v>
      </c>
      <c r="O17" s="9">
        <v>0.71033400000000002</v>
      </c>
      <c r="P17" s="9">
        <v>0.77903628000000003</v>
      </c>
      <c r="Q17" s="9"/>
      <c r="R17" s="9">
        <v>0.4</v>
      </c>
      <c r="S17" s="20">
        <v>1.0435350000000001</v>
      </c>
    </row>
    <row r="18" spans="1:19" ht="15" customHeight="1">
      <c r="A18" s="13">
        <v>41671</v>
      </c>
      <c r="B18" s="8">
        <v>5.7253939823975104</v>
      </c>
      <c r="C18" s="8">
        <v>5.7303484571168299</v>
      </c>
      <c r="D18" s="8">
        <v>5.7503593719377601</v>
      </c>
      <c r="E18" s="12">
        <v>5.7440587165890404</v>
      </c>
      <c r="F18" s="4">
        <v>6.4008229009180804</v>
      </c>
      <c r="G18" s="8">
        <v>5.7195685555344298</v>
      </c>
      <c r="H18" s="4">
        <v>6.3642786331106604</v>
      </c>
      <c r="I18" s="8">
        <v>5.77879893816087</v>
      </c>
      <c r="J18" s="4">
        <v>5.55779533908155</v>
      </c>
      <c r="K18" s="4">
        <v>5.6800276756208303</v>
      </c>
      <c r="L18" s="9">
        <v>26.512149040000001</v>
      </c>
      <c r="M18" s="9">
        <v>10.8962</v>
      </c>
      <c r="N18" s="9">
        <v>4.4660000000000002</v>
      </c>
      <c r="O18" s="9">
        <v>0.64159200000000005</v>
      </c>
      <c r="P18" s="9">
        <v>0.77903628000000003</v>
      </c>
      <c r="Q18" s="9"/>
      <c r="R18" s="9">
        <v>0.4</v>
      </c>
      <c r="S18" s="20">
        <v>1.0435350000000001</v>
      </c>
    </row>
    <row r="19" spans="1:19" ht="15" customHeight="1">
      <c r="A19" s="13">
        <v>41699</v>
      </c>
      <c r="B19" s="8">
        <v>5.0025024161324501</v>
      </c>
      <c r="C19" s="8">
        <v>5.0074568908517696</v>
      </c>
      <c r="D19" s="8">
        <v>5.0614249041503099</v>
      </c>
      <c r="E19" s="12">
        <v>5.0429066154505398</v>
      </c>
      <c r="F19" s="4">
        <v>5.7088241366301604</v>
      </c>
      <c r="G19" s="8">
        <v>5.0372470232526201</v>
      </c>
      <c r="H19" s="4">
        <v>5.6792633425907804</v>
      </c>
      <c r="I19" s="8">
        <v>5.0444680614808997</v>
      </c>
      <c r="J19" s="4">
        <v>4.85579533908155</v>
      </c>
      <c r="K19" s="4">
        <v>4.9655957411274896</v>
      </c>
      <c r="L19" s="9">
        <v>29.394616540000001</v>
      </c>
      <c r="M19" s="9">
        <v>12.063650000000001</v>
      </c>
      <c r="N19" s="9">
        <v>4.9444999999999997</v>
      </c>
      <c r="O19" s="9">
        <v>0.71033400000000002</v>
      </c>
      <c r="P19" s="9">
        <v>0.77903628000000003</v>
      </c>
      <c r="Q19" s="9"/>
      <c r="R19" s="9">
        <v>0.4</v>
      </c>
      <c r="S19" s="20">
        <v>1.0435350000000001</v>
      </c>
    </row>
    <row r="20" spans="1:19" ht="15" customHeight="1">
      <c r="A20" s="13">
        <v>41730</v>
      </c>
      <c r="B20" s="8">
        <v>4.7242193852928898</v>
      </c>
      <c r="C20" s="8">
        <v>4.7285916418283396</v>
      </c>
      <c r="D20" s="8">
        <v>4.8068059613357903</v>
      </c>
      <c r="E20" s="12">
        <v>4.7822326339714403</v>
      </c>
      <c r="F20" s="4">
        <v>5.4863959623947602</v>
      </c>
      <c r="G20" s="8">
        <v>4.7603316510110698</v>
      </c>
      <c r="H20" s="4">
        <v>5.4590798563522398</v>
      </c>
      <c r="I20" s="8">
        <v>4.7562598941315004</v>
      </c>
      <c r="J20" s="4">
        <v>4.5847953390815501</v>
      </c>
      <c r="K20" s="4">
        <v>4.68923954870169</v>
      </c>
      <c r="L20" s="9">
        <v>30.193848039999999</v>
      </c>
      <c r="M20" s="9">
        <v>11.6745</v>
      </c>
      <c r="N20" s="9">
        <v>4.7850000000000001</v>
      </c>
      <c r="O20" s="9">
        <v>0.68742000000000003</v>
      </c>
      <c r="P20" s="9">
        <v>0.77903628000000003</v>
      </c>
      <c r="Q20" s="9"/>
      <c r="R20" s="9">
        <v>0.3</v>
      </c>
      <c r="S20" s="20">
        <v>1.0435350000000001</v>
      </c>
    </row>
    <row r="21" spans="1:19" ht="15" customHeight="1">
      <c r="A21" s="13">
        <v>41760</v>
      </c>
      <c r="B21" s="8">
        <v>4.9381176608916197</v>
      </c>
      <c r="C21" s="8">
        <v>4.9461153623711702</v>
      </c>
      <c r="D21" s="8">
        <v>5.0065241995266598</v>
      </c>
      <c r="E21" s="12">
        <v>4.99187975990304</v>
      </c>
      <c r="F21" s="4">
        <v>5.7148753737689901</v>
      </c>
      <c r="G21" s="8">
        <v>4.9585702312142796</v>
      </c>
      <c r="H21" s="4">
        <v>5.93206327334065</v>
      </c>
      <c r="I21" s="8">
        <v>4.9481720595449401</v>
      </c>
      <c r="J21" s="4">
        <v>4.7961753344205196</v>
      </c>
      <c r="K21" s="4">
        <v>4.8989427169094304</v>
      </c>
      <c r="L21" s="9">
        <v>32.596418040000003</v>
      </c>
      <c r="M21" s="9">
        <v>12.063650000000001</v>
      </c>
      <c r="N21" s="9">
        <v>4.9444999999999997</v>
      </c>
      <c r="O21" s="9">
        <v>0.71033400000000002</v>
      </c>
      <c r="P21" s="9">
        <v>0.80500415599999997</v>
      </c>
      <c r="Q21" s="9"/>
      <c r="R21" s="9">
        <v>0.3</v>
      </c>
      <c r="S21" s="20">
        <v>1.0435350000000001</v>
      </c>
    </row>
    <row r="22" spans="1:19" ht="15" customHeight="1">
      <c r="A22" s="13">
        <v>41791</v>
      </c>
      <c r="B22" s="8">
        <f>CHOOSE( CONTROL!$C$33, 4.7722, 4.7706) * CHOOSE(CONTROL!$C$16, $D$11, 100%, $F$11)</f>
        <v>4.7721999999999998</v>
      </c>
      <c r="C22" s="8">
        <f>CHOOSE( CONTROL!$C$33, 4.7802, 4.7785) * CHOOSE(CONTROL!$C$16, $D$11, 100%, $F$11)</f>
        <v>4.7801999999999998</v>
      </c>
      <c r="D22" s="8">
        <f>CHOOSE( CONTROL!$C$33, 4.8084, 4.8067) * CHOOSE( CONTROL!$C$16, $D$11, 100%, $F$11)</f>
        <v>4.8083999999999998</v>
      </c>
      <c r="E22" s="12">
        <f>CHOOSE( CONTROL!$C$33, 4.7974, 4.7957) * CHOOSE( CONTROL!$C$16, $D$11, 100%, $F$11)</f>
        <v>4.7973999999999997</v>
      </c>
      <c r="F22" s="4">
        <f>CHOOSE( CONTROL!$C$33, 5.5152, 5.5136) * CHOOSE(CONTROL!$C$16, $D$11, 100%, $F$11)</f>
        <v>5.5152000000000001</v>
      </c>
      <c r="G22" s="8">
        <f>CHOOSE( CONTROL!$C$33, 4.76, 4.7583) * CHOOSE( CONTROL!$C$16, $D$11, 100%, $F$11)</f>
        <v>4.76</v>
      </c>
      <c r="H22" s="4">
        <f>CHOOSE( CONTROL!$C$33, 5.6973, 5.6956) * CHOOSE(CONTROL!$C$16, $D$11, 100%, $F$11)</f>
        <v>5.6973000000000003</v>
      </c>
      <c r="I22" s="8">
        <f>CHOOSE( CONTROL!$C$33, 4.752, 4.7504) * CHOOSE(CONTROL!$C$16, $D$11, 100%, $F$11)</f>
        <v>4.7519999999999998</v>
      </c>
      <c r="J22" s="4">
        <f>CHOOSE( CONTROL!$C$33, 4.6206, 4.619) * CHOOSE(CONTROL!$C$16, $D$11, 100%, $F$11)</f>
        <v>4.6205999999999996</v>
      </c>
      <c r="K22" s="4">
        <f>CHOOSE( CONTROL!$C$33, 4.7131, 4.7115) * CHOOSE(CONTROL!$C$16, $D$11, 100%, $F$11)</f>
        <v>4.7130999999999998</v>
      </c>
      <c r="L22" s="9">
        <v>30.775700000000001</v>
      </c>
      <c r="M22" s="9">
        <v>11.6745</v>
      </c>
      <c r="N22" s="9">
        <v>4.3724999999999996</v>
      </c>
      <c r="O22" s="9">
        <v>0.59589999999999999</v>
      </c>
      <c r="P22" s="9">
        <v>0.78300000000000003</v>
      </c>
      <c r="Q22" s="9"/>
      <c r="R22" s="9">
        <v>0.3</v>
      </c>
      <c r="S22" s="19">
        <v>1.0573999999999999</v>
      </c>
    </row>
    <row r="23" spans="1:19" ht="15" customHeight="1">
      <c r="A23" s="13">
        <v>41821</v>
      </c>
      <c r="B23" s="8">
        <f>CHOOSE( CONTROL!$C$33, 4.5466, 4.5449) * CHOOSE(CONTROL!$C$16, $D$11, 100%, $F$11)</f>
        <v>4.5465999999999998</v>
      </c>
      <c r="C23" s="8">
        <f>CHOOSE( CONTROL!$C$33, 4.5545, 4.5529) * CHOOSE(CONTROL!$C$16, $D$11, 100%, $F$11)</f>
        <v>4.5545</v>
      </c>
      <c r="D23" s="8">
        <f>CHOOSE( CONTROL!$C$33, 4.5966, 4.5949) * CHOOSE( CONTROL!$C$16, $D$11, 100%, $F$11)</f>
        <v>4.5965999999999996</v>
      </c>
      <c r="E23" s="12">
        <f>CHOOSE( CONTROL!$C$33, 4.5808, 4.5791) * CHOOSE( CONTROL!$C$16, $D$11, 100%, $F$11)</f>
        <v>4.5808</v>
      </c>
      <c r="F23" s="4">
        <f>CHOOSE( CONTROL!$C$33, 5.3009, 5.2992) * CHOOSE(CONTROL!$C$16, $D$11, 100%, $F$11)</f>
        <v>5.3009000000000004</v>
      </c>
      <c r="G23" s="8">
        <f>CHOOSE( CONTROL!$C$33, 4.5509, 4.5492) * CHOOSE( CONTROL!$C$16, $D$11, 100%, $F$11)</f>
        <v>4.5509000000000004</v>
      </c>
      <c r="H23" s="4">
        <f>CHOOSE( CONTROL!$C$33, 5.4855, 5.4838) * CHOOSE(CONTROL!$C$16, $D$11, 100%, $F$11)</f>
        <v>5.4855</v>
      </c>
      <c r="I23" s="8">
        <f>CHOOSE( CONTROL!$C$33, 4.5446, 4.543) * CHOOSE(CONTROL!$C$16, $D$11, 100%, $F$11)</f>
        <v>4.5446</v>
      </c>
      <c r="J23" s="4">
        <f>CHOOSE( CONTROL!$C$33, 4.4016, 4.4) * CHOOSE(CONTROL!$C$16, $D$11, 100%, $F$11)</f>
        <v>4.4016000000000002</v>
      </c>
      <c r="K23" s="4">
        <f>CHOOSE( CONTROL!$C$33, 4.5094, 4.5078) * CHOOSE(CONTROL!$C$16, $D$11, 100%, $F$11)</f>
        <v>4.5094000000000003</v>
      </c>
      <c r="L23" s="9">
        <v>31.801500000000001</v>
      </c>
      <c r="M23" s="9">
        <v>12.063700000000001</v>
      </c>
      <c r="N23" s="9">
        <v>4.5183</v>
      </c>
      <c r="O23" s="9">
        <v>0.61570000000000003</v>
      </c>
      <c r="P23" s="9">
        <v>0.80910000000000004</v>
      </c>
      <c r="Q23" s="9"/>
      <c r="R23" s="9">
        <f t="shared" ref="R23:R56" si="0">(0.12*2500000)/1000000</f>
        <v>0.3</v>
      </c>
      <c r="S23" s="17">
        <v>1.0592999999999999</v>
      </c>
    </row>
    <row r="24" spans="1:19" ht="15" customHeight="1">
      <c r="A24" s="13">
        <v>41852</v>
      </c>
      <c r="B24" s="8">
        <f>CHOOSE( CONTROL!$C$33, 3.9366, 3.9349) * CHOOSE(CONTROL!$C$16, $D$11, 100%, $F$11)</f>
        <v>3.9365999999999999</v>
      </c>
      <c r="C24" s="8">
        <f>CHOOSE( CONTROL!$C$33, 3.9445, 3.9429) * CHOOSE(CONTROL!$C$16, $D$11, 100%, $F$11)</f>
        <v>3.9445000000000001</v>
      </c>
      <c r="D24" s="8">
        <f>CHOOSE( CONTROL!$C$33, 3.9519, 3.9503) * CHOOSE( CONTROL!$C$16, $D$11, 100%, $F$11)</f>
        <v>3.9519000000000002</v>
      </c>
      <c r="E24" s="12">
        <f>CHOOSE( CONTROL!$C$33, 3.9482, 3.9465) * CHOOSE( CONTROL!$C$16, $D$11, 100%, $F$11)</f>
        <v>3.9481999999999999</v>
      </c>
      <c r="F24" s="4">
        <f>CHOOSE( CONTROL!$C$33, 4.6177, 4.6161) * CHOOSE(CONTROL!$C$16, $D$11, 100%, $F$11)</f>
        <v>4.6177000000000001</v>
      </c>
      <c r="G24" s="8">
        <f>CHOOSE( CONTROL!$C$33, 3.9105, 3.9088) * CHOOSE( CONTROL!$C$16, $D$11, 100%, $F$11)</f>
        <v>3.9104999999999999</v>
      </c>
      <c r="H24" s="4">
        <f>CHOOSE( CONTROL!$C$33, 4.8103, 4.8087) * CHOOSE(CONTROL!$C$16, $D$11, 100%, $F$11)</f>
        <v>4.8102999999999998</v>
      </c>
      <c r="I24" s="8">
        <f>CHOOSE( CONTROL!$C$33, 3.9352, 3.9336) * CHOOSE(CONTROL!$C$16, $D$11, 100%, $F$11)</f>
        <v>3.9352</v>
      </c>
      <c r="J24" s="4">
        <f>CHOOSE( CONTROL!$C$33, 3.8096, 3.808) * CHOOSE(CONTROL!$C$16, $D$11, 100%, $F$11)</f>
        <v>3.8096000000000001</v>
      </c>
      <c r="K24" s="4">
        <f>CHOOSE( CONTROL!$C$33, 3.9009, 3.8993) * CHOOSE(CONTROL!$C$16, $D$11, 100%, $F$11)</f>
        <v>3.9009</v>
      </c>
      <c r="L24" s="9">
        <v>31.801500000000001</v>
      </c>
      <c r="M24" s="9">
        <v>12.063700000000001</v>
      </c>
      <c r="N24" s="9">
        <v>4.5183</v>
      </c>
      <c r="O24" s="9">
        <v>0.61570000000000003</v>
      </c>
      <c r="P24" s="9">
        <v>0.80910000000000004</v>
      </c>
      <c r="Q24" s="9"/>
      <c r="R24" s="9">
        <f t="shared" si="0"/>
        <v>0.3</v>
      </c>
      <c r="S24" s="17">
        <v>1.0592999999999999</v>
      </c>
    </row>
    <row r="25" spans="1:19" ht="15" customHeight="1">
      <c r="A25" s="13">
        <v>41883</v>
      </c>
      <c r="B25" s="8">
        <f>CHOOSE( CONTROL!$C$33, 4.0901, 4.0884) * CHOOSE(CONTROL!$C$16, $D$11, 100%, $F$11)</f>
        <v>4.0900999999999996</v>
      </c>
      <c r="C25" s="8">
        <f>CHOOSE( CONTROL!$C$33, 4.0981, 4.0964) * CHOOSE(CONTROL!$C$16, $D$11, 100%, $F$11)</f>
        <v>4.0980999999999996</v>
      </c>
      <c r="D25" s="8">
        <f>CHOOSE( CONTROL!$C$33, 4.1295, 4.1278) * CHOOSE( CONTROL!$C$16, $D$11, 100%, $F$11)</f>
        <v>4.1295000000000002</v>
      </c>
      <c r="E25" s="12">
        <f>CHOOSE( CONTROL!$C$33, 4.1174, 4.1157) * CHOOSE( CONTROL!$C$16, $D$11, 100%, $F$11)</f>
        <v>4.1173999999999999</v>
      </c>
      <c r="F25" s="4">
        <f>CHOOSE( CONTROL!$C$33, 4.8022, 4.8005) * CHOOSE(CONTROL!$C$16, $D$11, 100%, $F$11)</f>
        <v>4.8022</v>
      </c>
      <c r="G25" s="8">
        <f>CHOOSE( CONTROL!$C$33, 4.085, 4.0834) * CHOOSE( CONTROL!$C$16, $D$11, 100%, $F$11)</f>
        <v>4.085</v>
      </c>
      <c r="H25" s="4">
        <f>CHOOSE( CONTROL!$C$33, 4.9926, 4.9909) * CHOOSE(CONTROL!$C$16, $D$11, 100%, $F$11)</f>
        <v>4.9926000000000004</v>
      </c>
      <c r="I25" s="8">
        <f>CHOOSE( CONTROL!$C$33, 4.0912, 4.0896) * CHOOSE(CONTROL!$C$16, $D$11, 100%, $F$11)</f>
        <v>4.0911999999999997</v>
      </c>
      <c r="J25" s="4">
        <f>CHOOSE( CONTROL!$C$33, 3.9586, 3.957) * CHOOSE(CONTROL!$C$16, $D$11, 100%, $F$11)</f>
        <v>3.9586000000000001</v>
      </c>
      <c r="K25" s="4">
        <f>CHOOSE( CONTROL!$C$33, 4.0596, 4.0579) * CHOOSE(CONTROL!$C$16, $D$11, 100%, $F$11)</f>
        <v>4.0595999999999997</v>
      </c>
      <c r="L25" s="9">
        <v>30.775700000000001</v>
      </c>
      <c r="M25" s="9">
        <v>11.6745</v>
      </c>
      <c r="N25" s="9">
        <v>4.3724999999999996</v>
      </c>
      <c r="O25" s="9">
        <v>0.59589999999999999</v>
      </c>
      <c r="P25" s="9">
        <v>0.78300000000000003</v>
      </c>
      <c r="Q25" s="9"/>
      <c r="R25" s="9">
        <f t="shared" si="0"/>
        <v>0.3</v>
      </c>
      <c r="S25" s="17">
        <v>1.0592999999999999</v>
      </c>
    </row>
    <row r="26" spans="1:19" ht="15" customHeight="1">
      <c r="A26" s="13">
        <v>41913</v>
      </c>
      <c r="B26" s="8">
        <f>CHOOSE( CONTROL!$C$33, 4.1156, 4.1145) * CHOOSE(CONTROL!$C$16, $D$11, 100%, $F$11)</f>
        <v>4.1155999999999997</v>
      </c>
      <c r="C26" s="8">
        <f>CHOOSE( CONTROL!$C$33, 4.1209, 4.1199) * CHOOSE(CONTROL!$C$16, $D$11, 100%, $F$11)</f>
        <v>4.1208999999999998</v>
      </c>
      <c r="D26" s="8">
        <f>CHOOSE( CONTROL!$C$33, 4.1346, 4.1335) * CHOOSE( CONTROL!$C$16, $D$11, 100%, $F$11)</f>
        <v>4.1345999999999998</v>
      </c>
      <c r="E26" s="12">
        <f>CHOOSE( CONTROL!$C$33, 4.1295, 4.1284) * CHOOSE( CONTROL!$C$16, $D$11, 100%, $F$11)</f>
        <v>4.1295000000000002</v>
      </c>
      <c r="F26" s="4">
        <f>CHOOSE( CONTROL!$C$33, 4.7728, 4.7717) * CHOOSE(CONTROL!$C$16, $D$11, 100%, $F$11)</f>
        <v>4.7728000000000002</v>
      </c>
      <c r="G26" s="8">
        <f>CHOOSE( CONTROL!$C$33, 4.0887, 4.0876) * CHOOSE( CONTROL!$C$16, $D$11, 100%, $F$11)</f>
        <v>4.0887000000000002</v>
      </c>
      <c r="H26" s="4">
        <f>CHOOSE( CONTROL!$C$33, 4.9635, 4.9624) * CHOOSE(CONTROL!$C$16, $D$11, 100%, $F$11)</f>
        <v>4.9634999999999998</v>
      </c>
      <c r="I26" s="8">
        <f>CHOOSE( CONTROL!$C$33, 4.1081, 4.1071) * CHOOSE(CONTROL!$C$16, $D$11, 100%, $F$11)</f>
        <v>4.1081000000000003</v>
      </c>
      <c r="J26" s="4">
        <f>CHOOSE( CONTROL!$C$33, 3.9851, 3.984) * CHOOSE(CONTROL!$C$16, $D$11, 100%, $F$11)</f>
        <v>3.9851000000000001</v>
      </c>
      <c r="K26" s="4">
        <f>CHOOSE( CONTROL!$C$33, 4.0805, 4.0794) * CHOOSE(CONTROL!$C$16, $D$11, 100%, $F$11)</f>
        <v>4.0804999999999998</v>
      </c>
      <c r="L26" s="9">
        <v>30.661300000000001</v>
      </c>
      <c r="M26" s="9">
        <v>12.063700000000001</v>
      </c>
      <c r="N26" s="9">
        <v>4.9444999999999997</v>
      </c>
      <c r="O26" s="9">
        <v>0.61570000000000003</v>
      </c>
      <c r="P26" s="9">
        <v>0.80910000000000004</v>
      </c>
      <c r="Q26" s="9"/>
      <c r="R26" s="9">
        <f t="shared" si="0"/>
        <v>0.3</v>
      </c>
      <c r="S26" s="17">
        <v>1.0592999999999999</v>
      </c>
    </row>
    <row r="27" spans="1:19" ht="15" customHeight="1">
      <c r="A27" s="13">
        <v>41944</v>
      </c>
      <c r="B27" s="8">
        <f>CHOOSE( CONTROL!$C$33, 4.0266, 4.0255) * CHOOSE(CONTROL!$C$16, $D$11, 100%, $F$11)</f>
        <v>4.0266000000000002</v>
      </c>
      <c r="C27" s="8">
        <f>CHOOSE( CONTROL!$C$33, 4.0317, 4.0306) * CHOOSE(CONTROL!$C$16, $D$11, 100%, $F$11)</f>
        <v>4.0316999999999998</v>
      </c>
      <c r="D27" s="8">
        <f>CHOOSE( CONTROL!$C$33, 4.0334, 4.0323) * CHOOSE( CONTROL!$C$16, $D$11, 100%, $F$11)</f>
        <v>4.0334000000000003</v>
      </c>
      <c r="E27" s="12">
        <f>CHOOSE( CONTROL!$C$33, 4.0322, 4.0311) * CHOOSE( CONTROL!$C$16, $D$11, 100%, $F$11)</f>
        <v>4.0321999999999996</v>
      </c>
      <c r="F27" s="4">
        <f>CHOOSE( CONTROL!$C$33, 4.679, 4.6779) * CHOOSE(CONTROL!$C$16, $D$11, 100%, $F$11)</f>
        <v>4.6790000000000003</v>
      </c>
      <c r="G27" s="8">
        <f>CHOOSE( CONTROL!$C$33, 3.9959, 3.9949) * CHOOSE( CONTROL!$C$16, $D$11, 100%, $F$11)</f>
        <v>3.9958999999999998</v>
      </c>
      <c r="H27" s="18">
        <f>CHOOSE( CONTROL!$C$33, 4.8708, 4.8698) * CHOOSE(CONTROL!$C$16, $D$11, 100%, $F$11)</f>
        <v>4.8708</v>
      </c>
      <c r="I27" s="8">
        <f>CHOOSE( CONTROL!$C$33, 4.034, 4.033) * CHOOSE(CONTROL!$C$16, $D$11, 100%, $F$11)</f>
        <v>4.0339999999999998</v>
      </c>
      <c r="J27" s="4">
        <f>CHOOSE( CONTROL!$C$33, 3.8991, 3.898) * CHOOSE(CONTROL!$C$16, $D$11, 100%, $F$11)</f>
        <v>3.8990999999999998</v>
      </c>
      <c r="K27" s="4">
        <f>CHOOSE( CONTROL!$C$33, 3.9899, 3.9888) * CHOOSE(CONTROL!$C$16, $D$11, 100%, $F$11)</f>
        <v>3.9899</v>
      </c>
      <c r="L27" s="9">
        <v>27.9406</v>
      </c>
      <c r="M27" s="9">
        <v>11.6745</v>
      </c>
      <c r="N27" s="9">
        <v>4.7850000000000001</v>
      </c>
      <c r="O27" s="9">
        <v>0.59589999999999999</v>
      </c>
      <c r="P27" s="9">
        <v>0</v>
      </c>
      <c r="Q27" s="9"/>
      <c r="R27" s="9">
        <f t="shared" si="0"/>
        <v>0.3</v>
      </c>
      <c r="S27" s="17">
        <v>1.0592999999999999</v>
      </c>
    </row>
    <row r="28" spans="1:19" ht="15" customHeight="1">
      <c r="A28" s="13">
        <v>41974</v>
      </c>
      <c r="B28" s="8">
        <f>CHOOSE( CONTROL!$C$33, 4.1183, 4.1172) * CHOOSE(CONTROL!$C$16, $D$11, 100%, $F$11)</f>
        <v>4.1182999999999996</v>
      </c>
      <c r="C28" s="8">
        <f>CHOOSE( CONTROL!$C$33, 4.1234, 4.1223) * CHOOSE(CONTROL!$C$16, $D$11, 100%, $F$11)</f>
        <v>4.1234000000000002</v>
      </c>
      <c r="D28" s="8">
        <f>CHOOSE( CONTROL!$C$33, 4.1318, 4.1307) * CHOOSE( CONTROL!$C$16, $D$11, 100%, $F$11)</f>
        <v>4.1318000000000001</v>
      </c>
      <c r="E28" s="12">
        <f>CHOOSE( CONTROL!$C$33, 4.1282, 4.1271) * CHOOSE( CONTROL!$C$16, $D$11, 100%, $F$11)</f>
        <v>4.1281999999999996</v>
      </c>
      <c r="F28" s="4">
        <f>CHOOSE( CONTROL!$C$33, 4.7804, 4.7793) * CHOOSE(CONTROL!$C$16, $D$11, 100%, $F$11)</f>
        <v>4.7804000000000002</v>
      </c>
      <c r="G28" s="8">
        <f>CHOOSE( CONTROL!$C$33, 4.0933, 4.0923) * CHOOSE( CONTROL!$C$16, $D$11, 100%, $F$11)</f>
        <v>4.0933000000000002</v>
      </c>
      <c r="H28" s="4">
        <f>CHOOSE( CONTROL!$C$33, 4.971, 4.9699) * CHOOSE(CONTROL!$C$16, $D$11, 100%, $F$11)</f>
        <v>4.9710000000000001</v>
      </c>
      <c r="I28" s="8">
        <f>CHOOSE( CONTROL!$C$33, 4.1494, 4.1484) * CHOOSE(CONTROL!$C$16, $D$11, 100%, $F$11)</f>
        <v>4.1494</v>
      </c>
      <c r="J28" s="18">
        <f>CHOOSE( CONTROL!$C$33, 3.9881, 3.987) * CHOOSE(CONTROL!$C$16, $D$11, 100%, $F$11)</f>
        <v>3.9881000000000002</v>
      </c>
      <c r="K28" s="4">
        <f>CHOOSE( CONTROL!$C$33, 4.0861, 4.085) * CHOOSE(CONTROL!$C$16, $D$11, 100%, $F$11)</f>
        <v>4.0861000000000001</v>
      </c>
      <c r="L28" s="9">
        <v>28.872</v>
      </c>
      <c r="M28" s="9">
        <v>12.063700000000001</v>
      </c>
      <c r="N28" s="9">
        <v>4.9444999999999997</v>
      </c>
      <c r="O28" s="9">
        <v>0.61570000000000003</v>
      </c>
      <c r="P28" s="9">
        <v>0</v>
      </c>
      <c r="Q28" s="9"/>
      <c r="R28" s="9">
        <f t="shared" si="0"/>
        <v>0.3</v>
      </c>
      <c r="S28" s="17">
        <v>1.0592999999999999</v>
      </c>
    </row>
    <row r="29" spans="1:19" ht="15" customHeight="1">
      <c r="A29" s="13">
        <v>42005</v>
      </c>
      <c r="B29" s="8">
        <f>CHOOSE( CONTROL!$C$33, 4.1976, 4.1966) * CHOOSE(CONTROL!$C$16, $D$11, 100%, $F$11)</f>
        <v>4.1976000000000004</v>
      </c>
      <c r="C29" s="8">
        <f>CHOOSE( CONTROL!$C$33, 4.2027, 4.2016) * CHOOSE(CONTROL!$C$16, $D$11, 100%, $F$11)</f>
        <v>4.2027000000000001</v>
      </c>
      <c r="D29" s="8">
        <f>CHOOSE( CONTROL!$C$33, 4.2143, 4.2132) * CHOOSE( CONTROL!$C$16, $D$11, 100%, $F$11)</f>
        <v>4.2142999999999997</v>
      </c>
      <c r="E29" s="12">
        <f>CHOOSE( CONTROL!$C$33, 4.2095, 4.2084) * CHOOSE( CONTROL!$C$16, $D$11, 100%, $F$11)</f>
        <v>4.2095000000000002</v>
      </c>
      <c r="F29" s="4">
        <f>CHOOSE( CONTROL!$C$33, 4.8597, 4.8586) * CHOOSE(CONTROL!$C$16, $D$11, 100%, $F$11)</f>
        <v>4.8597000000000001</v>
      </c>
      <c r="G29" s="8">
        <f>CHOOSE( CONTROL!$C$33, 4.1748, 4.1738) * CHOOSE( CONTROL!$C$16, $D$11, 100%, $F$11)</f>
        <v>4.1748000000000003</v>
      </c>
      <c r="H29" s="4">
        <f>CHOOSE( CONTROL!$C$33, 5.0494, 5.0484) * CHOOSE(CONTROL!$C$16, $D$11, 100%, $F$11)</f>
        <v>5.0494000000000003</v>
      </c>
      <c r="I29" s="8">
        <f>CHOOSE( CONTROL!$C$33, 4.2287, 4.2276) * CHOOSE(CONTROL!$C$16, $D$11, 100%, $F$11)</f>
        <v>4.2286999999999999</v>
      </c>
      <c r="J29" s="4">
        <f>CHOOSE( CONTROL!$C$33, 4.0651, 4.064) * CHOOSE(CONTROL!$C$16, $D$11, 100%, $F$11)</f>
        <v>4.0651000000000002</v>
      </c>
      <c r="K29" s="4">
        <f>CHOOSE( CONTROL!$C$33, 4.1692, 4.1681) * CHOOSE(CONTROL!$C$16, $D$11, 100%, $F$11)</f>
        <v>4.1692</v>
      </c>
      <c r="L29" s="9">
        <v>28.872</v>
      </c>
      <c r="M29" s="9">
        <v>12.063700000000001</v>
      </c>
      <c r="N29" s="9">
        <v>4.9444999999999997</v>
      </c>
      <c r="O29" s="9">
        <v>0.61570000000000003</v>
      </c>
      <c r="P29" s="9">
        <v>0</v>
      </c>
      <c r="Q29" s="9"/>
      <c r="R29" s="9">
        <f t="shared" si="0"/>
        <v>0.3</v>
      </c>
      <c r="S29" s="17">
        <v>1.0592999999999999</v>
      </c>
    </row>
    <row r="30" spans="1:19" ht="15" customHeight="1">
      <c r="A30" s="13">
        <v>42036</v>
      </c>
      <c r="B30" s="8">
        <f>CHOOSE( CONTROL!$C$33, 4.1884, 4.1873) * CHOOSE(CONTROL!$C$16, $D$11, 100%, $F$11)</f>
        <v>4.1883999999999997</v>
      </c>
      <c r="C30" s="8">
        <f>CHOOSE( CONTROL!$C$33, 4.1934, 4.1924) * CHOOSE(CONTROL!$C$16, $D$11, 100%, $F$11)</f>
        <v>4.1933999999999996</v>
      </c>
      <c r="D30" s="8">
        <f>CHOOSE( CONTROL!$C$33, 4.2049, 4.2038) * CHOOSE( CONTROL!$C$16, $D$11, 100%, $F$11)</f>
        <v>4.2049000000000003</v>
      </c>
      <c r="E30" s="12">
        <f>CHOOSE( CONTROL!$C$33, 4.2002, 4.1991) * CHOOSE( CONTROL!$C$16, $D$11, 100%, $F$11)</f>
        <v>4.2001999999999997</v>
      </c>
      <c r="F30" s="4">
        <f>CHOOSE( CONTROL!$C$33, 4.8504, 4.8493) * CHOOSE(CONTROL!$C$16, $D$11, 100%, $F$11)</f>
        <v>4.8503999999999996</v>
      </c>
      <c r="G30" s="8">
        <f>CHOOSE( CONTROL!$C$33, 4.1656, 4.1645) * CHOOSE( CONTROL!$C$16, $D$11, 100%, $F$11)</f>
        <v>4.1656000000000004</v>
      </c>
      <c r="H30" s="4">
        <f>CHOOSE( CONTROL!$C$33, 5.0403, 5.0392) * CHOOSE(CONTROL!$C$16, $D$11, 100%, $F$11)</f>
        <v>5.0403000000000002</v>
      </c>
      <c r="I30" s="8">
        <f>CHOOSE( CONTROL!$C$33, 4.2194, 4.2184) * CHOOSE(CONTROL!$C$16, $D$11, 100%, $F$11)</f>
        <v>4.2194000000000003</v>
      </c>
      <c r="J30" s="4">
        <f>CHOOSE( CONTROL!$C$33, 4.0561, 4.055) * CHOOSE(CONTROL!$C$16, $D$11, 100%, $F$11)</f>
        <v>4.0560999999999998</v>
      </c>
      <c r="K30" s="4">
        <f>CHOOSE( CONTROL!$C$33, 4.16, 4.1589) * CHOOSE(CONTROL!$C$16, $D$11, 100%, $F$11)</f>
        <v>4.16</v>
      </c>
      <c r="L30" s="9">
        <v>26.0779</v>
      </c>
      <c r="M30" s="9">
        <v>10.8962</v>
      </c>
      <c r="N30" s="9">
        <v>4.4660000000000002</v>
      </c>
      <c r="O30" s="9">
        <v>0.55610000000000004</v>
      </c>
      <c r="P30" s="9">
        <v>0</v>
      </c>
      <c r="Q30" s="9"/>
      <c r="R30" s="9">
        <f t="shared" si="0"/>
        <v>0.3</v>
      </c>
      <c r="S30" s="17">
        <v>1.0592999999999999</v>
      </c>
    </row>
    <row r="31" spans="1:19" ht="15" customHeight="1">
      <c r="A31" s="13">
        <v>42064</v>
      </c>
      <c r="B31" s="8">
        <f>CHOOSE( CONTROL!$C$33, 4.1121, 4.111) * CHOOSE(CONTROL!$C$16, $D$11, 100%, $F$11)</f>
        <v>4.1120999999999999</v>
      </c>
      <c r="C31" s="8">
        <f>CHOOSE( CONTROL!$C$33, 4.1172, 4.1161) * CHOOSE(CONTROL!$C$16, $D$11, 100%, $F$11)</f>
        <v>4.1172000000000004</v>
      </c>
      <c r="D31" s="8">
        <f>CHOOSE( CONTROL!$C$33, 4.1283, 4.1272) * CHOOSE( CONTROL!$C$16, $D$11, 100%, $F$11)</f>
        <v>4.1283000000000003</v>
      </c>
      <c r="E31" s="12">
        <f>CHOOSE( CONTROL!$C$33, 4.1237, 4.1226) * CHOOSE( CONTROL!$C$16, $D$11, 100%, $F$11)</f>
        <v>4.1237000000000004</v>
      </c>
      <c r="F31" s="4">
        <f>CHOOSE( CONTROL!$C$33, 4.7742, 4.7731) * CHOOSE(CONTROL!$C$16, $D$11, 100%, $F$11)</f>
        <v>4.7742000000000004</v>
      </c>
      <c r="G31" s="8">
        <f>CHOOSE( CONTROL!$C$33, 4.0898, 4.0888) * CHOOSE( CONTROL!$C$16, $D$11, 100%, $F$11)</f>
        <v>4.0898000000000003</v>
      </c>
      <c r="H31" s="4">
        <f>CHOOSE( CONTROL!$C$33, 4.9649, 4.9638) * CHOOSE(CONTROL!$C$16, $D$11, 100%, $F$11)</f>
        <v>4.9649000000000001</v>
      </c>
      <c r="I31" s="8">
        <f>CHOOSE( CONTROL!$C$33, 4.1432, 4.1422) * CHOOSE(CONTROL!$C$16, $D$11, 100%, $F$11)</f>
        <v>4.1432000000000002</v>
      </c>
      <c r="J31" s="4">
        <f>CHOOSE( CONTROL!$C$33, 3.9821, 3.981) * CHOOSE(CONTROL!$C$16, $D$11, 100%, $F$11)</f>
        <v>3.9821</v>
      </c>
      <c r="K31" s="4">
        <f>CHOOSE( CONTROL!$C$33, 4.0842, 4.0832) * CHOOSE(CONTROL!$C$16, $D$11, 100%, $F$11)</f>
        <v>4.0842000000000001</v>
      </c>
      <c r="L31" s="9">
        <v>28.872</v>
      </c>
      <c r="M31" s="9">
        <v>12.063700000000001</v>
      </c>
      <c r="N31" s="9">
        <v>4.9444999999999997</v>
      </c>
      <c r="O31" s="9">
        <v>0.61570000000000003</v>
      </c>
      <c r="P31" s="9">
        <v>0</v>
      </c>
      <c r="Q31" s="9"/>
      <c r="R31" s="9">
        <f t="shared" si="0"/>
        <v>0.3</v>
      </c>
      <c r="S31" s="17">
        <v>1.0592999999999999</v>
      </c>
    </row>
    <row r="32" spans="1:19" ht="15" customHeight="1">
      <c r="A32" s="13">
        <v>42095</v>
      </c>
      <c r="B32" s="8">
        <f>CHOOSE( CONTROL!$C$33, 3.8687, 3.8676) * CHOOSE(CONTROL!$C$16, $D$11, 100%, $F$11)</f>
        <v>3.8687</v>
      </c>
      <c r="C32" s="8">
        <f>CHOOSE( CONTROL!$C$33, 3.8732, 3.8721) * CHOOSE(CONTROL!$C$16, $D$11, 100%, $F$11)</f>
        <v>3.8732000000000002</v>
      </c>
      <c r="D32" s="8">
        <f>CHOOSE( CONTROL!$C$33, 3.8787, 3.8777) * CHOOSE( CONTROL!$C$16, $D$11, 100%, $F$11)</f>
        <v>3.8786999999999998</v>
      </c>
      <c r="E32" s="12">
        <f>CHOOSE( CONTROL!$C$33, 3.8764, 3.8753) * CHOOSE( CONTROL!$C$16, $D$11, 100%, $F$11)</f>
        <v>3.8763999999999998</v>
      </c>
      <c r="F32" s="4">
        <f>CHOOSE( CONTROL!$C$33, 4.5976, 4.5965) * CHOOSE(CONTROL!$C$16, $D$11, 100%, $F$11)</f>
        <v>4.5975999999999999</v>
      </c>
      <c r="G32" s="8">
        <f>CHOOSE( CONTROL!$C$33, 3.8348, 3.8338) * CHOOSE( CONTROL!$C$16, $D$11, 100%, $F$11)</f>
        <v>3.8348</v>
      </c>
      <c r="H32" s="4">
        <f>CHOOSE( CONTROL!$C$33, 4.7904, 4.7893) * CHOOSE(CONTROL!$C$16, $D$11, 100%, $F$11)</f>
        <v>4.7904</v>
      </c>
      <c r="I32" s="8">
        <f>CHOOSE( CONTROL!$C$33, 3.8714, 3.8703) * CHOOSE(CONTROL!$C$16, $D$11, 100%, $F$11)</f>
        <v>3.8714</v>
      </c>
      <c r="J32" s="4">
        <f>CHOOSE( CONTROL!$C$33, 3.7451, 3.744) * CHOOSE(CONTROL!$C$16, $D$11, 100%, $F$11)</f>
        <v>3.7450999999999999</v>
      </c>
      <c r="K32" s="4">
        <f>CHOOSE( CONTROL!$C$33, 3.8246, 3.8235) * CHOOSE(CONTROL!$C$16, $D$11, 100%, $F$11)</f>
        <v>3.8246000000000002</v>
      </c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7">
        <v>1.0592999999999999</v>
      </c>
    </row>
    <row r="33" spans="1:19" ht="15" customHeight="1">
      <c r="A33" s="13">
        <v>42125</v>
      </c>
      <c r="B33" s="8">
        <f>CHOOSE( CONTROL!$C$33, 3.849, 3.8473) * CHOOSE(CONTROL!$C$16, $D$11, 100%, $F$11)</f>
        <v>3.8490000000000002</v>
      </c>
      <c r="C33" s="8">
        <f>CHOOSE( CONTROL!$C$33, 3.8569, 3.8553) * CHOOSE(CONTROL!$C$16, $D$11, 100%, $F$11)</f>
        <v>3.8569</v>
      </c>
      <c r="D33" s="8">
        <f>CHOOSE( CONTROL!$C$33, 3.8529, 3.8513) * CHOOSE( CONTROL!$C$16, $D$11, 100%, $F$11)</f>
        <v>3.8529</v>
      </c>
      <c r="E33" s="12">
        <f>CHOOSE( CONTROL!$C$33, 3.8531, 3.8515) * CHOOSE( CONTROL!$C$16, $D$11, 100%, $F$11)</f>
        <v>3.8531</v>
      </c>
      <c r="F33" s="4">
        <f>CHOOSE( CONTROL!$C$33, 4.5765, 4.5749) * CHOOSE(CONTROL!$C$16, $D$11, 100%, $F$11)</f>
        <v>4.5765000000000002</v>
      </c>
      <c r="G33" s="8">
        <f>CHOOSE( CONTROL!$C$33, 3.8256, 3.824) * CHOOSE( CONTROL!$C$16, $D$11, 100%, $F$11)</f>
        <v>3.8256000000000001</v>
      </c>
      <c r="H33" s="4">
        <f>CHOOSE( CONTROL!$C$33, 4.7696, 4.7679) * CHOOSE(CONTROL!$C$16, $D$11, 100%, $F$11)</f>
        <v>4.7695999999999996</v>
      </c>
      <c r="I33" s="8">
        <f>CHOOSE( CONTROL!$C$33, 3.8503, 3.8487) * CHOOSE(CONTROL!$C$16, $D$11, 100%, $F$11)</f>
        <v>3.8502999999999998</v>
      </c>
      <c r="J33" s="4">
        <f>CHOOSE( CONTROL!$C$33, 3.7246, 3.723) * CHOOSE(CONTROL!$C$16, $D$11, 100%, $F$11)</f>
        <v>3.7246000000000001</v>
      </c>
      <c r="K33" s="4">
        <f>CHOOSE( CONTROL!$C$33, 3.8037, 3.802) * CHOOSE(CONTROL!$C$16, $D$11, 100%, $F$11)</f>
        <v>3.8037000000000001</v>
      </c>
      <c r="L33" s="9">
        <v>32.235500000000002</v>
      </c>
      <c r="M33" s="9">
        <v>12.063700000000001</v>
      </c>
      <c r="N33" s="9">
        <v>4.5183</v>
      </c>
      <c r="O33" s="9">
        <v>0.61570000000000003</v>
      </c>
      <c r="P33" s="9">
        <v>2.1017999999999999</v>
      </c>
      <c r="Q33" s="9"/>
      <c r="R33" s="9">
        <f t="shared" si="0"/>
        <v>0.3</v>
      </c>
      <c r="S33" s="17">
        <v>1.0592999999999999</v>
      </c>
    </row>
    <row r="34" spans="1:19" ht="15" customHeight="1">
      <c r="A34" s="13">
        <v>42156</v>
      </c>
      <c r="B34" s="8">
        <f>CHOOSE( CONTROL!$C$33, 3.8789, 3.8772) * CHOOSE(CONTROL!$C$16, $D$11, 100%, $F$11)</f>
        <v>3.8788999999999998</v>
      </c>
      <c r="C34" s="8">
        <f>CHOOSE( CONTROL!$C$33, 3.8868, 3.8852) * CHOOSE(CONTROL!$C$16, $D$11, 100%, $F$11)</f>
        <v>3.8868</v>
      </c>
      <c r="D34" s="8">
        <f>CHOOSE( CONTROL!$C$33, 3.8831, 3.8814) * CHOOSE( CONTROL!$C$16, $D$11, 100%, $F$11)</f>
        <v>3.8831000000000002</v>
      </c>
      <c r="E34" s="12">
        <f>CHOOSE( CONTROL!$C$33, 3.8832, 3.8816) * CHOOSE( CONTROL!$C$16, $D$11, 100%, $F$11)</f>
        <v>3.8832</v>
      </c>
      <c r="F34" s="4">
        <f>CHOOSE( CONTROL!$C$33, 4.6064, 4.6047) * CHOOSE(CONTROL!$C$16, $D$11, 100%, $F$11)</f>
        <v>4.6063999999999998</v>
      </c>
      <c r="G34" s="8">
        <f>CHOOSE( CONTROL!$C$33, 3.8554, 3.8537) * CHOOSE( CONTROL!$C$16, $D$11, 100%, $F$11)</f>
        <v>3.8553999999999999</v>
      </c>
      <c r="H34" s="4">
        <f>CHOOSE( CONTROL!$C$33, 4.7991, 4.7975) * CHOOSE(CONTROL!$C$16, $D$11, 100%, $F$11)</f>
        <v>4.7991000000000001</v>
      </c>
      <c r="I34" s="8">
        <f>CHOOSE( CONTROL!$C$33, 3.8802, 3.8786) * CHOOSE(CONTROL!$C$16, $D$11, 100%, $F$11)</f>
        <v>3.8801999999999999</v>
      </c>
      <c r="J34" s="4">
        <f>CHOOSE( CONTROL!$C$33, 3.7536, 3.752) * CHOOSE(CONTROL!$C$16, $D$11, 100%, $F$11)</f>
        <v>3.7536</v>
      </c>
      <c r="K34" s="4">
        <f>CHOOSE( CONTROL!$C$33, 3.8334, 3.8317) * CHOOSE(CONTROL!$C$16, $D$11, 100%, $F$11)</f>
        <v>3.8334000000000001</v>
      </c>
      <c r="L34" s="9">
        <v>31.195699999999999</v>
      </c>
      <c r="M34" s="9">
        <v>11.6745</v>
      </c>
      <c r="N34" s="9">
        <v>4.3724999999999996</v>
      </c>
      <c r="O34" s="9">
        <v>0.59589999999999999</v>
      </c>
      <c r="P34" s="9">
        <v>2.0339999999999998</v>
      </c>
      <c r="Q34" s="9"/>
      <c r="R34" s="9">
        <f t="shared" si="0"/>
        <v>0.3</v>
      </c>
      <c r="S34" s="16">
        <v>1.0722</v>
      </c>
    </row>
    <row r="35" spans="1:19" ht="15" customHeight="1">
      <c r="A35" s="13">
        <v>42186</v>
      </c>
      <c r="B35" s="8">
        <f>CHOOSE( CONTROL!$C$33, 3.9098, 3.9081) * CHOOSE(CONTROL!$C$16, $D$11, 100%, $F$11)</f>
        <v>3.9098000000000002</v>
      </c>
      <c r="C35" s="8">
        <f>CHOOSE( CONTROL!$C$33, 3.9177, 3.9161) * CHOOSE(CONTROL!$C$16, $D$11, 100%, $F$11)</f>
        <v>3.9177</v>
      </c>
      <c r="D35" s="8">
        <f>CHOOSE( CONTROL!$C$33, 3.9143, 3.9126) * CHOOSE( CONTROL!$C$16, $D$11, 100%, $F$11)</f>
        <v>3.9142999999999999</v>
      </c>
      <c r="E35" s="12">
        <f>CHOOSE( CONTROL!$C$33, 3.9143, 3.9126) * CHOOSE( CONTROL!$C$16, $D$11, 100%, $F$11)</f>
        <v>3.9142999999999999</v>
      </c>
      <c r="F35" s="4">
        <f>CHOOSE( CONTROL!$C$33, 4.6373, 4.6357) * CHOOSE(CONTROL!$C$16, $D$11, 100%, $F$11)</f>
        <v>4.6372999999999998</v>
      </c>
      <c r="G35" s="8">
        <f>CHOOSE( CONTROL!$C$33, 3.8862, 3.8845) * CHOOSE( CONTROL!$C$16, $D$11, 100%, $F$11)</f>
        <v>3.8862000000000001</v>
      </c>
      <c r="H35" s="4">
        <f>CHOOSE( CONTROL!$C$33, 4.8297, 4.828) * CHOOSE(CONTROL!$C$16, $D$11, 100%, $F$11)</f>
        <v>4.8296999999999999</v>
      </c>
      <c r="I35" s="8">
        <f>CHOOSE( CONTROL!$C$33, 3.911, 3.9094) * CHOOSE(CONTROL!$C$16, $D$11, 100%, $F$11)</f>
        <v>3.911</v>
      </c>
      <c r="J35" s="4">
        <f>CHOOSE( CONTROL!$C$33, 3.7836, 3.782) * CHOOSE(CONTROL!$C$16, $D$11, 100%, $F$11)</f>
        <v>3.7835999999999999</v>
      </c>
      <c r="K35" s="4">
        <f>CHOOSE( CONTROL!$C$33, 3.8641, 3.8624) * CHOOSE(CONTROL!$C$16, $D$11, 100%, $F$11)</f>
        <v>3.8641000000000001</v>
      </c>
      <c r="L35" s="9">
        <v>32.235500000000002</v>
      </c>
      <c r="M35" s="9">
        <v>12.063700000000001</v>
      </c>
      <c r="N35" s="9">
        <v>4.5183</v>
      </c>
      <c r="O35" s="9">
        <v>0.61570000000000003</v>
      </c>
      <c r="P35" s="9">
        <v>2.1017999999999999</v>
      </c>
      <c r="Q35" s="9"/>
      <c r="R35" s="9">
        <f t="shared" si="0"/>
        <v>0.3</v>
      </c>
      <c r="S35" s="15">
        <v>1.0738000000000001</v>
      </c>
    </row>
    <row r="36" spans="1:19" ht="15" customHeight="1">
      <c r="A36" s="13">
        <v>42217</v>
      </c>
      <c r="B36" s="8">
        <f>CHOOSE( CONTROL!$C$33, 3.919, 3.9174) * CHOOSE(CONTROL!$C$16, $D$11, 100%, $F$11)</f>
        <v>3.919</v>
      </c>
      <c r="C36" s="8">
        <f>CHOOSE( CONTROL!$C$33, 3.927, 3.9254) * CHOOSE(CONTROL!$C$16, $D$11, 100%, $F$11)</f>
        <v>3.927</v>
      </c>
      <c r="D36" s="8">
        <f>CHOOSE( CONTROL!$C$33, 3.9236, 3.922) * CHOOSE( CONTROL!$C$16, $D$11, 100%, $F$11)</f>
        <v>3.9236</v>
      </c>
      <c r="E36" s="12">
        <f>CHOOSE( CONTROL!$C$33, 3.9236, 3.922) * CHOOSE( CONTROL!$C$16, $D$11, 100%, $F$11)</f>
        <v>3.9236</v>
      </c>
      <c r="F36" s="4">
        <f>CHOOSE( CONTROL!$C$33, 4.6466, 4.6449) * CHOOSE(CONTROL!$C$16, $D$11, 100%, $F$11)</f>
        <v>4.6466000000000003</v>
      </c>
      <c r="G36" s="8">
        <f>CHOOSE( CONTROL!$C$33, 3.8954, 3.8938) * CHOOSE( CONTROL!$C$16, $D$11, 100%, $F$11)</f>
        <v>3.8954</v>
      </c>
      <c r="H36" s="4">
        <f>CHOOSE( CONTROL!$C$33, 4.8388, 4.8372) * CHOOSE(CONTROL!$C$16, $D$11, 100%, $F$11)</f>
        <v>4.8388</v>
      </c>
      <c r="I36" s="8">
        <f>CHOOSE( CONTROL!$C$33, 3.9203, 3.9187) * CHOOSE(CONTROL!$C$16, $D$11, 100%, $F$11)</f>
        <v>3.9203000000000001</v>
      </c>
      <c r="J36" s="4">
        <f>CHOOSE( CONTROL!$C$33, 3.7926, 3.791) * CHOOSE(CONTROL!$C$16, $D$11, 100%, $F$11)</f>
        <v>3.7926000000000002</v>
      </c>
      <c r="K36" s="4">
        <f>CHOOSE( CONTROL!$C$33, 3.8733, 3.8716) * CHOOSE(CONTROL!$C$16, $D$11, 100%, $F$11)</f>
        <v>3.8733</v>
      </c>
      <c r="L36" s="9">
        <v>32.235500000000002</v>
      </c>
      <c r="M36" s="9">
        <v>12.063700000000001</v>
      </c>
      <c r="N36" s="9">
        <v>4.5183</v>
      </c>
      <c r="O36" s="9">
        <v>0.61570000000000003</v>
      </c>
      <c r="P36" s="9">
        <v>2.1017999999999999</v>
      </c>
      <c r="Q36" s="9"/>
      <c r="R36" s="9">
        <f t="shared" si="0"/>
        <v>0.3</v>
      </c>
      <c r="S36" s="15">
        <v>1.0738000000000001</v>
      </c>
    </row>
    <row r="37" spans="1:19" ht="15" customHeight="1">
      <c r="A37" s="13">
        <v>42248</v>
      </c>
      <c r="B37" s="8">
        <f>CHOOSE( CONTROL!$C$33, 3.9056, 3.904) * CHOOSE(CONTROL!$C$16, $D$11, 100%, $F$11)</f>
        <v>3.9056000000000002</v>
      </c>
      <c r="C37" s="8">
        <f>CHOOSE( CONTROL!$C$33, 3.9136, 3.912) * CHOOSE(CONTROL!$C$16, $D$11, 100%, $F$11)</f>
        <v>3.9136000000000002</v>
      </c>
      <c r="D37" s="8">
        <f>CHOOSE( CONTROL!$C$33, 3.9101, 3.9085) * CHOOSE( CONTROL!$C$16, $D$11, 100%, $F$11)</f>
        <v>3.9100999999999999</v>
      </c>
      <c r="E37" s="12">
        <f>CHOOSE( CONTROL!$C$33, 3.9101, 3.9085) * CHOOSE( CONTROL!$C$16, $D$11, 100%, $F$11)</f>
        <v>3.9100999999999999</v>
      </c>
      <c r="F37" s="4">
        <f>CHOOSE( CONTROL!$C$33, 4.6332, 4.6315) * CHOOSE(CONTROL!$C$16, $D$11, 100%, $F$11)</f>
        <v>4.6332000000000004</v>
      </c>
      <c r="G37" s="8">
        <f>CHOOSE( CONTROL!$C$33, 3.8821, 3.8804) * CHOOSE( CONTROL!$C$16, $D$11, 100%, $F$11)</f>
        <v>3.8820999999999999</v>
      </c>
      <c r="H37" s="4">
        <f>CHOOSE( CONTROL!$C$33, 4.8256, 4.8239) * CHOOSE(CONTROL!$C$16, $D$11, 100%, $F$11)</f>
        <v>4.8255999999999997</v>
      </c>
      <c r="I37" s="8">
        <f>CHOOSE( CONTROL!$C$33, 3.9069, 3.9053) * CHOOSE(CONTROL!$C$16, $D$11, 100%, $F$11)</f>
        <v>3.9068999999999998</v>
      </c>
      <c r="J37" s="4">
        <f>CHOOSE( CONTROL!$C$33, 3.7796, 3.778) * CHOOSE(CONTROL!$C$16, $D$11, 100%, $F$11)</f>
        <v>3.7795999999999998</v>
      </c>
      <c r="K37" s="4">
        <f>CHOOSE( CONTROL!$C$33, 3.86, 3.8583) * CHOOSE(CONTROL!$C$16, $D$11, 100%, $F$11)</f>
        <v>3.86</v>
      </c>
      <c r="L37" s="9">
        <v>31.195699999999999</v>
      </c>
      <c r="M37" s="9">
        <v>11.6745</v>
      </c>
      <c r="N37" s="9">
        <v>4.3724999999999996</v>
      </c>
      <c r="O37" s="9">
        <v>0.59589999999999999</v>
      </c>
      <c r="P37" s="9">
        <v>2.0339999999999998</v>
      </c>
      <c r="Q37" s="9"/>
      <c r="R37" s="9">
        <f t="shared" si="0"/>
        <v>0.3</v>
      </c>
      <c r="S37" s="15">
        <v>1.0738000000000001</v>
      </c>
    </row>
    <row r="38" spans="1:19" ht="15" customHeight="1">
      <c r="A38" s="13">
        <v>42278</v>
      </c>
      <c r="B38" s="8">
        <f>CHOOSE( CONTROL!$C$33, 3.9353, 3.9342) * CHOOSE(CONTROL!$C$16, $D$11, 100%, $F$11)</f>
        <v>3.9352999999999998</v>
      </c>
      <c r="C38" s="8">
        <f>CHOOSE( CONTROL!$C$33, 3.9406, 3.9395) * CHOOSE(CONTROL!$C$16, $D$11, 100%, $F$11)</f>
        <v>3.9405999999999999</v>
      </c>
      <c r="D38" s="8">
        <f>CHOOSE( CONTROL!$C$33, 3.9295, 3.9284) * CHOOSE( CONTROL!$C$16, $D$11, 100%, $F$11)</f>
        <v>3.9295</v>
      </c>
      <c r="E38" s="12">
        <f>CHOOSE( CONTROL!$C$33, 3.9326, 3.9315) * CHOOSE( CONTROL!$C$16, $D$11, 100%, $F$11)</f>
        <v>3.9325999999999999</v>
      </c>
      <c r="F38" s="4">
        <f>CHOOSE( CONTROL!$C$33, 4.6646, 4.6635) * CHOOSE(CONTROL!$C$16, $D$11, 100%, $F$11)</f>
        <v>4.6646000000000001</v>
      </c>
      <c r="G38" s="8">
        <f>CHOOSE( CONTROL!$C$33, 3.9238, 3.9227) * CHOOSE( CONTROL!$C$16, $D$11, 100%, $F$11)</f>
        <v>3.9238</v>
      </c>
      <c r="H38" s="4">
        <f>CHOOSE( CONTROL!$C$33, 4.8566, 4.8555) * CHOOSE(CONTROL!$C$16, $D$11, 100%, $F$11)</f>
        <v>4.8566000000000003</v>
      </c>
      <c r="I38" s="8">
        <f>CHOOSE( CONTROL!$C$33, 3.9383, 3.9372) * CHOOSE(CONTROL!$C$16, $D$11, 100%, $F$11)</f>
        <v>3.9382999999999999</v>
      </c>
      <c r="J38" s="4">
        <f>CHOOSE( CONTROL!$C$33, 3.8101, 3.809) * CHOOSE(CONTROL!$C$16, $D$11, 100%, $F$11)</f>
        <v>3.8100999999999998</v>
      </c>
      <c r="K38" s="4">
        <f>CHOOSE( CONTROL!$C$33, 3.8911, 3.8901) * CHOOSE(CONTROL!$C$16, $D$11, 100%, $F$11)</f>
        <v>3.8910999999999998</v>
      </c>
      <c r="L38" s="9">
        <v>31.095300000000002</v>
      </c>
      <c r="M38" s="9">
        <v>12.063700000000001</v>
      </c>
      <c r="N38" s="9">
        <v>4.9444999999999997</v>
      </c>
      <c r="O38" s="9">
        <v>0.61570000000000003</v>
      </c>
      <c r="P38" s="9">
        <v>2.1017999999999999</v>
      </c>
      <c r="Q38" s="9"/>
      <c r="R38" s="9">
        <f t="shared" si="0"/>
        <v>0.3</v>
      </c>
      <c r="S38" s="15">
        <v>1.0738000000000001</v>
      </c>
    </row>
    <row r="39" spans="1:19" ht="15" customHeight="1">
      <c r="A39" s="13">
        <v>42309</v>
      </c>
      <c r="B39" s="8">
        <f>CHOOSE( CONTROL!$C$33, 4.0328, 4.0317) * CHOOSE(CONTROL!$C$16, $D$11, 100%, $F$11)</f>
        <v>4.0327999999999999</v>
      </c>
      <c r="C39" s="8">
        <f>CHOOSE( CONTROL!$C$33, 4.0378, 4.0368) * CHOOSE(CONTROL!$C$16, $D$11, 100%, $F$11)</f>
        <v>4.0377999999999998</v>
      </c>
      <c r="D39" s="8">
        <f>CHOOSE( CONTROL!$C$33, 4.0316, 4.0305) * CHOOSE( CONTROL!$C$16, $D$11, 100%, $F$11)</f>
        <v>4.0316000000000001</v>
      </c>
      <c r="E39" s="12">
        <f>CHOOSE( CONTROL!$C$33, 4.0333, 4.0323) * CHOOSE( CONTROL!$C$16, $D$11, 100%, $F$11)</f>
        <v>4.0332999999999997</v>
      </c>
      <c r="F39" s="4">
        <f>CHOOSE( CONTROL!$C$33, 4.6929, 4.6918) * CHOOSE(CONTROL!$C$16, $D$11, 100%, $F$11)</f>
        <v>4.6928999999999998</v>
      </c>
      <c r="G39" s="8">
        <f>CHOOSE( CONTROL!$C$33, 4.0032, 4.0021) * CHOOSE( CONTROL!$C$16, $D$11, 100%, $F$11)</f>
        <v>4.0031999999999996</v>
      </c>
      <c r="H39" s="4">
        <f>CHOOSE( CONTROL!$C$33, 4.8846, 4.8835) * CHOOSE(CONTROL!$C$16, $D$11, 100%, $F$11)</f>
        <v>4.8845999999999998</v>
      </c>
      <c r="I39" s="8">
        <f>CHOOSE( CONTROL!$C$33, 4.0927, 4.0916) * CHOOSE(CONTROL!$C$16, $D$11, 100%, $F$11)</f>
        <v>4.0926999999999998</v>
      </c>
      <c r="J39" s="4">
        <f>CHOOSE( CONTROL!$C$33, 3.9051, 3.904) * CHOOSE(CONTROL!$C$16, $D$11, 100%, $F$11)</f>
        <v>3.9051</v>
      </c>
      <c r="K39" s="4">
        <f>CHOOSE( CONTROL!$C$33, 4.0037, 4.0027) * CHOOSE(CONTROL!$C$16, $D$11, 100%, $F$11)</f>
        <v>4.0037000000000003</v>
      </c>
      <c r="L39" s="9">
        <v>28.360600000000002</v>
      </c>
      <c r="M39" s="9">
        <v>11.6745</v>
      </c>
      <c r="N39" s="9">
        <v>4.7850000000000001</v>
      </c>
      <c r="O39" s="9">
        <v>0.59589999999999999</v>
      </c>
      <c r="P39" s="9">
        <v>1.1791</v>
      </c>
      <c r="Q39" s="9"/>
      <c r="R39" s="9">
        <f t="shared" si="0"/>
        <v>0.3</v>
      </c>
      <c r="S39" s="15">
        <v>1.0738000000000001</v>
      </c>
    </row>
    <row r="40" spans="1:19" ht="15" customHeight="1">
      <c r="A40" s="13">
        <v>42339</v>
      </c>
      <c r="B40" s="8">
        <f>CHOOSE( CONTROL!$C$33, 4.1915, 4.1904) * CHOOSE(CONTROL!$C$16, $D$11, 100%, $F$11)</f>
        <v>4.1914999999999996</v>
      </c>
      <c r="C40" s="8">
        <f>CHOOSE( CONTROL!$C$33, 4.1965, 4.1954) * CHOOSE(CONTROL!$C$16, $D$11, 100%, $F$11)</f>
        <v>4.1965000000000003</v>
      </c>
      <c r="D40" s="8">
        <f>CHOOSE( CONTROL!$C$33, 4.1917, 4.1906) * CHOOSE( CONTROL!$C$16, $D$11, 100%, $F$11)</f>
        <v>4.1917</v>
      </c>
      <c r="E40" s="12">
        <f>CHOOSE( CONTROL!$C$33, 4.1929, 4.1918) * CHOOSE( CONTROL!$C$16, $D$11, 100%, $F$11)</f>
        <v>4.1928999999999998</v>
      </c>
      <c r="F40" s="4">
        <f>CHOOSE( CONTROL!$C$33, 4.8516, 4.8505) * CHOOSE(CONTROL!$C$16, $D$11, 100%, $F$11)</f>
        <v>4.8516000000000004</v>
      </c>
      <c r="G40" s="8">
        <f>CHOOSE( CONTROL!$C$33, 4.161, 4.16) * CHOOSE( CONTROL!$C$16, $D$11, 100%, $F$11)</f>
        <v>4.1609999999999996</v>
      </c>
      <c r="H40" s="4">
        <f>CHOOSE( CONTROL!$C$33, 5.0414, 5.0403) * CHOOSE(CONTROL!$C$16, $D$11, 100%, $F$11)</f>
        <v>5.0414000000000003</v>
      </c>
      <c r="I40" s="8">
        <f>CHOOSE( CONTROL!$C$33, 4.2512, 4.2501) * CHOOSE(CONTROL!$C$16, $D$11, 100%, $F$11)</f>
        <v>4.2511999999999999</v>
      </c>
      <c r="J40" s="4">
        <f>CHOOSE( CONTROL!$C$33, 4.0591, 4.058) * CHOOSE(CONTROL!$C$16, $D$11, 100%, $F$11)</f>
        <v>4.0590999999999999</v>
      </c>
      <c r="K40" s="4">
        <f>CHOOSE( CONTROL!$C$33, 4.1614, 4.1603) * CHOOSE(CONTROL!$C$16, $D$11, 100%, $F$11)</f>
        <v>4.1614000000000004</v>
      </c>
      <c r="L40" s="9">
        <v>29.306000000000001</v>
      </c>
      <c r="M40" s="9">
        <v>12.063700000000001</v>
      </c>
      <c r="N40" s="9">
        <v>4.9444999999999997</v>
      </c>
      <c r="O40" s="9">
        <v>0.61570000000000003</v>
      </c>
      <c r="P40" s="9">
        <v>1.2183999999999999</v>
      </c>
      <c r="Q40" s="9"/>
      <c r="R40" s="9">
        <f t="shared" si="0"/>
        <v>0.3</v>
      </c>
      <c r="S40" s="15">
        <v>1.0738000000000001</v>
      </c>
    </row>
    <row r="41" spans="1:19" ht="15" customHeight="1">
      <c r="A41" s="13">
        <v>42370</v>
      </c>
      <c r="B41" s="8">
        <f>CHOOSE( CONTROL!$C$33, 4.3048, 4.3037) * CHOOSE(CONTROL!$C$16, $D$11, 100%, $F$11)</f>
        <v>4.3048000000000002</v>
      </c>
      <c r="C41" s="8">
        <f>CHOOSE( CONTROL!$C$33, 4.3099, 4.3088) * CHOOSE(CONTROL!$C$16, $D$11, 100%, $F$11)</f>
        <v>4.3098999999999998</v>
      </c>
      <c r="D41" s="8">
        <f>CHOOSE( CONTROL!$C$33, 4.3119, 4.3108) * CHOOSE( CONTROL!$C$16, $D$11, 100%, $F$11)</f>
        <v>4.3118999999999996</v>
      </c>
      <c r="E41" s="12">
        <f>CHOOSE( CONTROL!$C$33, 4.3106, 4.3095) * CHOOSE( CONTROL!$C$16, $D$11, 100%, $F$11)</f>
        <v>4.3106</v>
      </c>
      <c r="F41" s="4">
        <f>CHOOSE( CONTROL!$C$33, 4.9649, 4.9638) * CHOOSE(CONTROL!$C$16, $D$11, 100%, $F$11)</f>
        <v>4.9649000000000001</v>
      </c>
      <c r="G41" s="8">
        <f>CHOOSE( CONTROL!$C$33, 4.2768, 4.2757) * CHOOSE( CONTROL!$C$16, $D$11, 100%, $F$11)</f>
        <v>4.2767999999999997</v>
      </c>
      <c r="H41" s="4">
        <f>CHOOSE( CONTROL!$C$33, 5.1534, 5.1524) * CHOOSE(CONTROL!$C$16, $D$11, 100%, $F$11)</f>
        <v>5.1534000000000004</v>
      </c>
      <c r="I41" s="8">
        <f>CHOOSE( CONTROL!$C$33, 4.3327, 4.3317) * CHOOSE(CONTROL!$C$16, $D$11, 100%, $F$11)</f>
        <v>4.3327</v>
      </c>
      <c r="J41" s="4">
        <f>CHOOSE( CONTROL!$C$33, 4.1691, 4.168) * CHOOSE(CONTROL!$C$16, $D$11, 100%, $F$11)</f>
        <v>4.1691000000000003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0.61570000000000003</v>
      </c>
      <c r="P41" s="9">
        <v>1.2183999999999999</v>
      </c>
      <c r="Q41" s="9"/>
      <c r="R41" s="9">
        <f t="shared" si="0"/>
        <v>0.3</v>
      </c>
      <c r="S41" s="11"/>
    </row>
    <row r="42" spans="1:19" ht="15" customHeight="1">
      <c r="A42" s="13">
        <v>42401</v>
      </c>
      <c r="B42" s="8">
        <f>CHOOSE( CONTROL!$C$33, 4.2862, 4.2852) * CHOOSE(CONTROL!$C$16, $D$11, 100%, $F$11)</f>
        <v>4.2862</v>
      </c>
      <c r="C42" s="8">
        <f>CHOOSE( CONTROL!$C$33, 4.2913, 4.2902) * CHOOSE(CONTROL!$C$16, $D$11, 100%, $F$11)</f>
        <v>4.2912999999999997</v>
      </c>
      <c r="D42" s="8">
        <f>CHOOSE( CONTROL!$C$33, 4.2933, 4.2922) * CHOOSE( CONTROL!$C$16, $D$11, 100%, $F$11)</f>
        <v>4.2933000000000003</v>
      </c>
      <c r="E42" s="12">
        <f>CHOOSE( CONTROL!$C$33, 4.292, 4.2909) * CHOOSE( CONTROL!$C$16, $D$11, 100%, $F$11)</f>
        <v>4.2919999999999998</v>
      </c>
      <c r="F42" s="4">
        <f>CHOOSE( CONTROL!$C$33, 4.9464, 4.9453) * CHOOSE(CONTROL!$C$16, $D$11, 100%, $F$11)</f>
        <v>4.9463999999999997</v>
      </c>
      <c r="G42" s="8">
        <f>CHOOSE( CONTROL!$C$33, 4.2584, 4.2573) * CHOOSE( CONTROL!$C$16, $D$11, 100%, $F$11)</f>
        <v>4.2584</v>
      </c>
      <c r="H42" s="4">
        <f>CHOOSE( CONTROL!$C$33, 5.1351, 5.134) * CHOOSE(CONTROL!$C$16, $D$11, 100%, $F$11)</f>
        <v>5.1351000000000004</v>
      </c>
      <c r="I42" s="8">
        <f>CHOOSE( CONTROL!$C$33, 4.3145, 4.3134) * CHOOSE(CONTROL!$C$16, $D$11, 100%, $F$11)</f>
        <v>4.3144999999999998</v>
      </c>
      <c r="J42" s="4">
        <f>CHOOSE( CONTROL!$C$33, 4.1511, 4.15) * CHOOSE(CONTROL!$C$16, $D$11, 100%, $F$11)</f>
        <v>4.1510999999999996</v>
      </c>
      <c r="K42" s="4"/>
      <c r="L42" s="9">
        <v>27.415299999999998</v>
      </c>
      <c r="M42" s="9">
        <v>11.285299999999999</v>
      </c>
      <c r="N42" s="9">
        <v>4.6254999999999997</v>
      </c>
      <c r="O42" s="9">
        <v>0.57599999999999996</v>
      </c>
      <c r="P42" s="9">
        <v>1.1397999999999999</v>
      </c>
      <c r="Q42" s="9"/>
      <c r="R42" s="9">
        <f t="shared" si="0"/>
        <v>0.3</v>
      </c>
      <c r="S42" s="11"/>
    </row>
    <row r="43" spans="1:19" ht="15" customHeight="1">
      <c r="A43" s="13">
        <v>42430</v>
      </c>
      <c r="B43" s="8">
        <f>CHOOSE( CONTROL!$C$33, 4.2131, 4.212) * CHOOSE(CONTROL!$C$16, $D$11, 100%, $F$11)</f>
        <v>4.2130999999999998</v>
      </c>
      <c r="C43" s="8">
        <f>CHOOSE( CONTROL!$C$33, 4.2182, 4.2171) * CHOOSE(CONTROL!$C$16, $D$11, 100%, $F$11)</f>
        <v>4.2182000000000004</v>
      </c>
      <c r="D43" s="8">
        <f>CHOOSE( CONTROL!$C$33, 4.2194, 4.2183) * CHOOSE( CONTROL!$C$16, $D$11, 100%, $F$11)</f>
        <v>4.2194000000000003</v>
      </c>
      <c r="E43" s="12">
        <f>CHOOSE( CONTROL!$C$33, 4.2184, 4.2173) * CHOOSE( CONTROL!$C$16, $D$11, 100%, $F$11)</f>
        <v>4.2183999999999999</v>
      </c>
      <c r="F43" s="4">
        <f>CHOOSE( CONTROL!$C$33, 4.8732, 4.8721) * CHOOSE(CONTROL!$C$16, $D$11, 100%, $F$11)</f>
        <v>4.8731999999999998</v>
      </c>
      <c r="G43" s="8">
        <f>CHOOSE( CONTROL!$C$33, 4.1856, 4.1845) * CHOOSE( CONTROL!$C$16, $D$11, 100%, $F$11)</f>
        <v>4.1856</v>
      </c>
      <c r="H43" s="4">
        <f>CHOOSE( CONTROL!$C$33, 5.0628, 5.0617) * CHOOSE(CONTROL!$C$16, $D$11, 100%, $F$11)</f>
        <v>5.0628000000000002</v>
      </c>
      <c r="I43" s="8">
        <f>CHOOSE( CONTROL!$C$33, 4.2413, 4.2402) * CHOOSE(CONTROL!$C$16, $D$11, 100%, $F$11)</f>
        <v>4.2412999999999998</v>
      </c>
      <c r="J43" s="4">
        <f>CHOOSE( CONTROL!$C$33, 4.0801, 4.079) * CHOOSE(CONTROL!$C$16, $D$11, 100%, $F$11)</f>
        <v>4.0800999999999998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0.61570000000000003</v>
      </c>
      <c r="P43" s="9">
        <v>1.2183999999999999</v>
      </c>
      <c r="Q43" s="9"/>
      <c r="R43" s="9">
        <f t="shared" si="0"/>
        <v>0.3</v>
      </c>
      <c r="S43" s="11"/>
    </row>
    <row r="44" spans="1:19" ht="15" customHeight="1">
      <c r="A44" s="13">
        <v>42461</v>
      </c>
      <c r="B44" s="8">
        <f>CHOOSE( CONTROL!$C$33, 3.9903, 3.9892) * CHOOSE(CONTROL!$C$16, $D$11, 100%, $F$11)</f>
        <v>3.9903</v>
      </c>
      <c r="C44" s="8">
        <f>CHOOSE( CONTROL!$C$33, 3.9948, 3.9937) * CHOOSE(CONTROL!$C$16, $D$11, 100%, $F$11)</f>
        <v>3.9948000000000001</v>
      </c>
      <c r="D44" s="8">
        <f>CHOOSE( CONTROL!$C$33, 4.0003, 3.9992) * CHOOSE( CONTROL!$C$16, $D$11, 100%, $F$11)</f>
        <v>4.0003000000000002</v>
      </c>
      <c r="E44" s="12">
        <f>CHOOSE( CONTROL!$C$33, 3.998, 3.9969) * CHOOSE( CONTROL!$C$16, $D$11, 100%, $F$11)</f>
        <v>3.9980000000000002</v>
      </c>
      <c r="F44" s="4">
        <f>CHOOSE( CONTROL!$C$33, 4.7192, 4.7181) * CHOOSE(CONTROL!$C$16, $D$11, 100%, $F$11)</f>
        <v>4.7191999999999998</v>
      </c>
      <c r="G44" s="8">
        <f>CHOOSE( CONTROL!$C$33, 3.955, 3.9539) * CHOOSE( CONTROL!$C$16, $D$11, 100%, $F$11)</f>
        <v>3.9550000000000001</v>
      </c>
      <c r="H44" s="4">
        <f>CHOOSE( CONTROL!$C$33, 4.9106, 4.9095) * CHOOSE(CONTROL!$C$16, $D$11, 100%, $F$11)</f>
        <v>4.9105999999999996</v>
      </c>
      <c r="I44" s="8">
        <f>CHOOSE( CONTROL!$C$33, 3.9894, 3.9884) * CHOOSE(CONTROL!$C$16, $D$11, 100%, $F$11)</f>
        <v>3.9893999999999998</v>
      </c>
      <c r="J44" s="4">
        <f>CHOOSE( CONTROL!$C$33, 3.8631, 3.862) * CHOOSE(CONTROL!$C$16, $D$11, 100%, $F$11)</f>
        <v>3.8631000000000002</v>
      </c>
      <c r="K44" s="4"/>
      <c r="L44" s="9">
        <v>30.092199999999998</v>
      </c>
      <c r="M44" s="9">
        <v>11.6745</v>
      </c>
      <c r="N44" s="9">
        <v>4.7850000000000001</v>
      </c>
      <c r="O44" s="9">
        <v>0.59589999999999999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42491</v>
      </c>
      <c r="B45" s="8">
        <f>CHOOSE( CONTROL!$C$33, 3.9932, 3.9916) * CHOOSE(CONTROL!$C$16, $D$11, 100%, $F$11)</f>
        <v>3.9931999999999999</v>
      </c>
      <c r="C45" s="8">
        <f>CHOOSE( CONTROL!$C$33, 4.0012, 3.9995) * CHOOSE(CONTROL!$C$16, $D$11, 100%, $F$11)</f>
        <v>4.0011999999999999</v>
      </c>
      <c r="D45" s="8">
        <f>CHOOSE( CONTROL!$C$33, 4.0129, 4.0113) * CHOOSE( CONTROL!$C$16, $D$11, 100%, $F$11)</f>
        <v>4.0129000000000001</v>
      </c>
      <c r="E45" s="12">
        <f>CHOOSE( CONTROL!$C$33, 4.0074, 4.0058) * CHOOSE( CONTROL!$C$16, $D$11, 100%, $F$11)</f>
        <v>4.0073999999999996</v>
      </c>
      <c r="F45" s="4">
        <f>CHOOSE( CONTROL!$C$33, 4.7208, 4.7191) * CHOOSE(CONTROL!$C$16, $D$11, 100%, $F$11)</f>
        <v>4.7207999999999997</v>
      </c>
      <c r="G45" s="8">
        <f>CHOOSE( CONTROL!$C$33, 3.9529, 3.9513) * CHOOSE( CONTROL!$C$16, $D$11, 100%, $F$11)</f>
        <v>3.9529000000000001</v>
      </c>
      <c r="H45" s="4">
        <f>CHOOSE( CONTROL!$C$33, 4.9121, 4.9105) * CHOOSE(CONTROL!$C$16, $D$11, 100%, $F$11)</f>
        <v>4.9120999999999997</v>
      </c>
      <c r="I45" s="8">
        <f>CHOOSE( CONTROL!$C$33, 3.9904, 3.9888) * CHOOSE(CONTROL!$C$16, $D$11, 100%, $F$11)</f>
        <v>3.9904000000000002</v>
      </c>
      <c r="J45" s="4">
        <f>CHOOSE( CONTROL!$C$33, 3.8646, 3.863) * CHOOSE(CONTROL!$C$16, $D$11, 100%, $F$11)</f>
        <v>3.8645999999999998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/>
      <c r="R45" s="9">
        <f t="shared" si="0"/>
        <v>0.3</v>
      </c>
      <c r="S45" s="11"/>
    </row>
    <row r="46" spans="1:19" ht="15" customHeight="1">
      <c r="A46" s="13">
        <v>42522</v>
      </c>
      <c r="B46" s="8">
        <f>CHOOSE( CONTROL!$C$33, 4.0221, 4.0204) * CHOOSE(CONTROL!$C$16, $D$11, 100%, $F$11)</f>
        <v>4.0221</v>
      </c>
      <c r="C46" s="8">
        <f>CHOOSE( CONTROL!$C$33, 4.0301, 4.0284) * CHOOSE(CONTROL!$C$16, $D$11, 100%, $F$11)</f>
        <v>4.0301</v>
      </c>
      <c r="D46" s="8">
        <f>CHOOSE( CONTROL!$C$33, 4.042, 4.0404) * CHOOSE( CONTROL!$C$16, $D$11, 100%, $F$11)</f>
        <v>4.0419999999999998</v>
      </c>
      <c r="E46" s="12">
        <f>CHOOSE( CONTROL!$C$33, 4.0365, 4.0348) * CHOOSE( CONTROL!$C$16, $D$11, 100%, $F$11)</f>
        <v>4.0365000000000002</v>
      </c>
      <c r="F46" s="4">
        <f>CHOOSE( CONTROL!$C$33, 4.7496, 4.748) * CHOOSE(CONTROL!$C$16, $D$11, 100%, $F$11)</f>
        <v>4.7496</v>
      </c>
      <c r="G46" s="8">
        <f>CHOOSE( CONTROL!$C$33, 3.9817, 3.98) * CHOOSE( CONTROL!$C$16, $D$11, 100%, $F$11)</f>
        <v>3.9817</v>
      </c>
      <c r="H46" s="4">
        <f>CHOOSE( CONTROL!$C$33, 4.9407, 4.939) * CHOOSE(CONTROL!$C$16, $D$11, 100%, $F$11)</f>
        <v>4.9406999999999996</v>
      </c>
      <c r="I46" s="8">
        <f>CHOOSE( CONTROL!$C$33, 4.0192, 4.0176) * CHOOSE(CONTROL!$C$16, $D$11, 100%, $F$11)</f>
        <v>4.0191999999999997</v>
      </c>
      <c r="J46" s="4">
        <f>CHOOSE( CONTROL!$C$33, 3.8926, 3.891) * CHOOSE(CONTROL!$C$16, $D$11, 100%, $F$11)</f>
        <v>3.8925999999999998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/>
      <c r="R46" s="9">
        <f t="shared" si="0"/>
        <v>0.3</v>
      </c>
      <c r="S46" s="11"/>
    </row>
    <row r="47" spans="1:19" ht="15" customHeight="1">
      <c r="A47" s="13">
        <v>42552</v>
      </c>
      <c r="B47" s="8">
        <f>CHOOSE( CONTROL!$C$33, 4.0509, 4.0493) * CHOOSE(CONTROL!$C$16, $D$11, 100%, $F$11)</f>
        <v>4.0509000000000004</v>
      </c>
      <c r="C47" s="8">
        <f>CHOOSE( CONTROL!$C$33, 4.0589, 4.0572) * CHOOSE(CONTROL!$C$16, $D$11, 100%, $F$11)</f>
        <v>4.0589000000000004</v>
      </c>
      <c r="D47" s="8">
        <f>CHOOSE( CONTROL!$C$33, 4.0712, 4.0695) * CHOOSE( CONTROL!$C$16, $D$11, 100%, $F$11)</f>
        <v>4.0712000000000002</v>
      </c>
      <c r="E47" s="12">
        <f>CHOOSE( CONTROL!$C$33, 4.0655, 4.0638) * CHOOSE( CONTROL!$C$16, $D$11, 100%, $F$11)</f>
        <v>4.0655000000000001</v>
      </c>
      <c r="F47" s="4">
        <f>CHOOSE( CONTROL!$C$33, 4.7785, 4.7768) * CHOOSE(CONTROL!$C$16, $D$11, 100%, $F$11)</f>
        <v>4.7785000000000002</v>
      </c>
      <c r="G47" s="8">
        <f>CHOOSE( CONTROL!$C$33, 4.0105, 4.0088) * CHOOSE( CONTROL!$C$16, $D$11, 100%, $F$11)</f>
        <v>4.0105000000000004</v>
      </c>
      <c r="H47" s="4">
        <f>CHOOSE( CONTROL!$C$33, 4.9692, 4.9675) * CHOOSE(CONTROL!$C$16, $D$11, 100%, $F$11)</f>
        <v>4.9691999999999998</v>
      </c>
      <c r="I47" s="8">
        <f>CHOOSE( CONTROL!$C$33, 4.0481, 4.0465) * CHOOSE(CONTROL!$C$16, $D$11, 100%, $F$11)</f>
        <v>4.0480999999999998</v>
      </c>
      <c r="J47" s="4">
        <f>CHOOSE( CONTROL!$C$33, 3.9206, 3.919) * CHOOSE(CONTROL!$C$16, $D$11, 100%, $F$11)</f>
        <v>3.9205999999999999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/>
      <c r="R47" s="9">
        <f t="shared" si="0"/>
        <v>0.3</v>
      </c>
      <c r="S47" s="11"/>
    </row>
    <row r="48" spans="1:19" ht="15" customHeight="1">
      <c r="A48" s="13">
        <v>42583</v>
      </c>
      <c r="B48" s="8">
        <f>CHOOSE( CONTROL!$C$33, 4.0612, 4.0596) * CHOOSE(CONTROL!$C$16, $D$11, 100%, $F$11)</f>
        <v>4.0612000000000004</v>
      </c>
      <c r="C48" s="8">
        <f>CHOOSE( CONTROL!$C$33, 4.0692, 4.0676) * CHOOSE(CONTROL!$C$16, $D$11, 100%, $F$11)</f>
        <v>4.0692000000000004</v>
      </c>
      <c r="D48" s="8">
        <f>CHOOSE( CONTROL!$C$33, 4.0815, 4.0799) * CHOOSE( CONTROL!$C$16, $D$11, 100%, $F$11)</f>
        <v>4.0815000000000001</v>
      </c>
      <c r="E48" s="12">
        <f>CHOOSE( CONTROL!$C$33, 4.0758, 4.0742) * CHOOSE( CONTROL!$C$16, $D$11, 100%, $F$11)</f>
        <v>4.0758000000000001</v>
      </c>
      <c r="F48" s="4">
        <f>CHOOSE( CONTROL!$C$33, 4.7888, 4.7871) * CHOOSE(CONTROL!$C$16, $D$11, 100%, $F$11)</f>
        <v>4.7888000000000002</v>
      </c>
      <c r="G48" s="8">
        <f>CHOOSE( CONTROL!$C$33, 4.0207, 4.0191) * CHOOSE( CONTROL!$C$16, $D$11, 100%, $F$11)</f>
        <v>4.0206999999999997</v>
      </c>
      <c r="H48" s="4">
        <f>CHOOSE( CONTROL!$C$33, 4.9793, 4.9777) * CHOOSE(CONTROL!$C$16, $D$11, 100%, $F$11)</f>
        <v>4.9793000000000003</v>
      </c>
      <c r="I48" s="8">
        <f>CHOOSE( CONTROL!$C$33, 4.0584, 4.0568) * CHOOSE(CONTROL!$C$16, $D$11, 100%, $F$11)</f>
        <v>4.0583999999999998</v>
      </c>
      <c r="J48" s="4">
        <f>CHOOSE( CONTROL!$C$33, 3.9306, 3.929) * CHOOSE(CONTROL!$C$16, $D$11, 100%, $F$11)</f>
        <v>3.9306000000000001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/>
      <c r="R48" s="9">
        <f t="shared" si="0"/>
        <v>0.3</v>
      </c>
      <c r="S48" s="11"/>
    </row>
    <row r="49" spans="1:19" ht="15" customHeight="1">
      <c r="A49" s="13">
        <v>42614</v>
      </c>
      <c r="B49" s="8">
        <f>CHOOSE( CONTROL!$C$33, 4.0468, 4.0452) * CHOOSE(CONTROL!$C$16, $D$11, 100%, $F$11)</f>
        <v>4.0468000000000002</v>
      </c>
      <c r="C49" s="8">
        <f>CHOOSE( CONTROL!$C$33, 4.0548, 4.0531) * CHOOSE(CONTROL!$C$16, $D$11, 100%, $F$11)</f>
        <v>4.0548000000000002</v>
      </c>
      <c r="D49" s="8">
        <f>CHOOSE( CONTROL!$C$33, 4.067, 4.0653) * CHOOSE( CONTROL!$C$16, $D$11, 100%, $F$11)</f>
        <v>4.0670000000000002</v>
      </c>
      <c r="E49" s="12">
        <f>CHOOSE( CONTROL!$C$33, 4.0614, 4.0597) * CHOOSE( CONTROL!$C$16, $D$11, 100%, $F$11)</f>
        <v>4.0613999999999999</v>
      </c>
      <c r="F49" s="4">
        <f>CHOOSE( CONTROL!$C$33, 4.7744, 4.7727) * CHOOSE(CONTROL!$C$16, $D$11, 100%, $F$11)</f>
        <v>4.7744</v>
      </c>
      <c r="G49" s="8">
        <f>CHOOSE( CONTROL!$C$33, 4.0064, 4.0047) * CHOOSE( CONTROL!$C$16, $D$11, 100%, $F$11)</f>
        <v>4.0064000000000002</v>
      </c>
      <c r="H49" s="4">
        <f>CHOOSE( CONTROL!$C$33, 4.9651, 4.9635) * CHOOSE(CONTROL!$C$16, $D$11, 100%, $F$11)</f>
        <v>4.9650999999999996</v>
      </c>
      <c r="I49" s="8">
        <f>CHOOSE( CONTROL!$C$33, 4.044, 4.0424) * CHOOSE(CONTROL!$C$16, $D$11, 100%, $F$11)</f>
        <v>4.0439999999999996</v>
      </c>
      <c r="J49" s="4">
        <f>CHOOSE( CONTROL!$C$33, 3.9166, 3.915) * CHOOSE(CONTROL!$C$16, $D$11, 100%, $F$11)</f>
        <v>3.9165999999999999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/>
      <c r="R49" s="9">
        <f t="shared" si="0"/>
        <v>0.3</v>
      </c>
      <c r="S49" s="11"/>
    </row>
    <row r="50" spans="1:19" ht="15" customHeight="1">
      <c r="A50" s="13">
        <v>42644</v>
      </c>
      <c r="B50" s="8">
        <f>CHOOSE( CONTROL!$C$33, 4.0713, 4.0702) * CHOOSE(CONTROL!$C$16, $D$11, 100%, $F$11)</f>
        <v>4.0712999999999999</v>
      </c>
      <c r="C50" s="8">
        <f>CHOOSE( CONTROL!$C$33, 4.0766, 4.0755) * CHOOSE(CONTROL!$C$16, $D$11, 100%, $F$11)</f>
        <v>4.0766</v>
      </c>
      <c r="D50" s="8">
        <f>CHOOSE( CONTROL!$C$33, 4.0778, 4.0767) * CHOOSE( CONTROL!$C$16, $D$11, 100%, $F$11)</f>
        <v>4.0777999999999999</v>
      </c>
      <c r="E50" s="12">
        <f>CHOOSE( CONTROL!$C$33, 4.0768, 4.0757) * CHOOSE( CONTROL!$C$16, $D$11, 100%, $F$11)</f>
        <v>4.0768000000000004</v>
      </c>
      <c r="F50" s="4">
        <f>CHOOSE( CONTROL!$C$33, 4.8006, 4.7995) * CHOOSE(CONTROL!$C$16, $D$11, 100%, $F$11)</f>
        <v>4.8006000000000002</v>
      </c>
      <c r="G50" s="8">
        <f>CHOOSE( CONTROL!$C$33, 4.0546, 4.0535) * CHOOSE( CONTROL!$C$16, $D$11, 100%, $F$11)</f>
        <v>4.0545999999999998</v>
      </c>
      <c r="H50" s="4">
        <f>CHOOSE( CONTROL!$C$33, 4.991, 4.9899) * CHOOSE(CONTROL!$C$16, $D$11, 100%, $F$11)</f>
        <v>4.9909999999999997</v>
      </c>
      <c r="I50" s="8">
        <f>CHOOSE( CONTROL!$C$33, 4.0704, 4.0693) * CHOOSE(CONTROL!$C$16, $D$11, 100%, $F$11)</f>
        <v>4.0704000000000002</v>
      </c>
      <c r="J50" s="4">
        <f>CHOOSE( CONTROL!$C$33, 3.9421, 3.941) * CHOOSE(CONTROL!$C$16, $D$11, 100%, $F$11)</f>
        <v>3.9420999999999999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/>
      <c r="R50" s="9">
        <f t="shared" si="0"/>
        <v>0.3</v>
      </c>
      <c r="S50" s="11"/>
    </row>
    <row r="51" spans="1:19" ht="15" customHeight="1">
      <c r="A51" s="13">
        <v>42675</v>
      </c>
      <c r="B51" s="8">
        <f>CHOOSE( CONTROL!$C$33, 4.1574, 4.1564) * CHOOSE(CONTROL!$C$16, $D$11, 100%, $F$11)</f>
        <v>4.1574</v>
      </c>
      <c r="C51" s="8">
        <f>CHOOSE( CONTROL!$C$33, 4.1625, 4.1614) * CHOOSE(CONTROL!$C$16, $D$11, 100%, $F$11)</f>
        <v>4.1624999999999996</v>
      </c>
      <c r="D51" s="8">
        <f>CHOOSE( CONTROL!$C$33, 4.1529, 4.1518) * CHOOSE( CONTROL!$C$16, $D$11, 100%, $F$11)</f>
        <v>4.1528999999999998</v>
      </c>
      <c r="E51" s="12">
        <f>CHOOSE( CONTROL!$C$33, 4.1559, 4.1548) * CHOOSE( CONTROL!$C$16, $D$11, 100%, $F$11)</f>
        <v>4.1558999999999999</v>
      </c>
      <c r="F51" s="4">
        <f>CHOOSE( CONTROL!$C$33, 4.8176, 4.8165) * CHOOSE(CONTROL!$C$16, $D$11, 100%, $F$11)</f>
        <v>4.8175999999999997</v>
      </c>
      <c r="G51" s="8">
        <f>CHOOSE( CONTROL!$C$33, 4.1267, 4.1256) * CHOOSE( CONTROL!$C$16, $D$11, 100%, $F$11)</f>
        <v>4.1266999999999996</v>
      </c>
      <c r="H51" s="4">
        <f>CHOOSE( CONTROL!$C$33, 5.0078, 5.0067) * CHOOSE(CONTROL!$C$16, $D$11, 100%, $F$11)</f>
        <v>5.0077999999999996</v>
      </c>
      <c r="I51" s="8">
        <f>CHOOSE( CONTROL!$C$33, 4.2137, 4.2127) * CHOOSE(CONTROL!$C$16, $D$11, 100%, $F$11)</f>
        <v>4.2137000000000002</v>
      </c>
      <c r="J51" s="4">
        <f>CHOOSE( CONTROL!$C$33, 4.0261, 4.025) * CHOOSE(CONTROL!$C$16, $D$11, 100%, $F$11)</f>
        <v>4.0260999999999996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1.1791</v>
      </c>
      <c r="Q51" s="9"/>
      <c r="R51" s="9">
        <f t="shared" si="0"/>
        <v>0.3</v>
      </c>
      <c r="S51" s="11"/>
    </row>
    <row r="52" spans="1:19" ht="15" customHeight="1">
      <c r="A52" s="13">
        <v>42705</v>
      </c>
      <c r="B52" s="8">
        <f>CHOOSE( CONTROL!$C$33, 4.3347, 4.3336) * CHOOSE(CONTROL!$C$16, $D$11, 100%, $F$11)</f>
        <v>4.3346999999999998</v>
      </c>
      <c r="C52" s="8">
        <f>CHOOSE( CONTROL!$C$33, 4.3398, 4.3387) * CHOOSE(CONTROL!$C$16, $D$11, 100%, $F$11)</f>
        <v>4.3398000000000003</v>
      </c>
      <c r="D52" s="8">
        <f>CHOOSE( CONTROL!$C$33, 4.3316, 4.3305) * CHOOSE( CONTROL!$C$16, $D$11, 100%, $F$11)</f>
        <v>4.3315999999999999</v>
      </c>
      <c r="E52" s="12">
        <f>CHOOSE( CONTROL!$C$33, 4.3341, 4.333) * CHOOSE( CONTROL!$C$16, $D$11, 100%, $F$11)</f>
        <v>4.3341000000000003</v>
      </c>
      <c r="F52" s="4">
        <f>CHOOSE( CONTROL!$C$33, 4.9948, 4.9937) * CHOOSE(CONTROL!$C$16, $D$11, 100%, $F$11)</f>
        <v>4.9947999999999997</v>
      </c>
      <c r="G52" s="8">
        <f>CHOOSE( CONTROL!$C$33, 4.3029, 4.3018) * CHOOSE( CONTROL!$C$16, $D$11, 100%, $F$11)</f>
        <v>4.3029000000000002</v>
      </c>
      <c r="H52" s="4">
        <f>CHOOSE( CONTROL!$C$33, 5.183, 5.1819) * CHOOSE(CONTROL!$C$16, $D$11, 100%, $F$11)</f>
        <v>5.1829999999999998</v>
      </c>
      <c r="I52" s="8">
        <f>CHOOSE( CONTROL!$C$33, 4.3903, 4.3892) * CHOOSE(CONTROL!$C$16, $D$11, 100%, $F$11)</f>
        <v>4.3902999999999999</v>
      </c>
      <c r="J52" s="4">
        <f>CHOOSE( CONTROL!$C$33, 4.1981, 4.197) * CHOOSE(CONTROL!$C$16, $D$11, 100%, $F$11)</f>
        <v>4.1981000000000002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1.2183999999999999</v>
      </c>
      <c r="Q52" s="9"/>
      <c r="R52" s="9">
        <f t="shared" si="0"/>
        <v>0.3</v>
      </c>
      <c r="S52" s="11"/>
    </row>
    <row r="53" spans="1:19" ht="15" customHeight="1">
      <c r="A53" s="13">
        <v>42736</v>
      </c>
      <c r="B53" s="8">
        <f>CHOOSE( CONTROL!$C$33, 4.8818, 4.8807) * CHOOSE(CONTROL!$C$16, $D$11, 100%, $F$11)</f>
        <v>4.8818000000000001</v>
      </c>
      <c r="C53" s="8">
        <f>CHOOSE( CONTROL!$C$33, 4.8868, 4.8857) * CHOOSE(CONTROL!$C$16, $D$11, 100%, $F$11)</f>
        <v>4.8868</v>
      </c>
      <c r="D53" s="8">
        <f>CHOOSE( CONTROL!$C$33, 4.8895, 4.8884) * CHOOSE( CONTROL!$C$16, $D$11, 100%, $F$11)</f>
        <v>4.8895</v>
      </c>
      <c r="E53" s="12">
        <f>CHOOSE( CONTROL!$C$33, 4.888, 4.8869) * CHOOSE( CONTROL!$C$16, $D$11, 100%, $F$11)</f>
        <v>4.8879999999999999</v>
      </c>
      <c r="F53" s="4">
        <f>CHOOSE( CONTROL!$C$33, 5.5419, 5.5408) * CHOOSE(CONTROL!$C$16, $D$11, 100%, $F$11)</f>
        <v>5.5419</v>
      </c>
      <c r="G53" s="8">
        <f>CHOOSE( CONTROL!$C$33, 4.8463, 4.8453) * CHOOSE( CONTROL!$C$16, $D$11, 100%, $F$11)</f>
        <v>4.8463000000000003</v>
      </c>
      <c r="H53" s="4">
        <f>CHOOSE( CONTROL!$C$33, 5.7236, 5.7226) * CHOOSE(CONTROL!$C$16, $D$11, 100%, $F$11)</f>
        <v>5.7236000000000002</v>
      </c>
      <c r="I53" s="8">
        <f>CHOOSE( CONTROL!$C$33, 4.8929, 4.8919) * CHOOSE(CONTROL!$C$16, $D$11, 100%, $F$11)</f>
        <v>4.8929</v>
      </c>
      <c r="J53" s="4">
        <f>CHOOSE( CONTROL!$C$33, 4.729, 4.7279) * CHOOSE(CONTROL!$C$16, $D$11, 100%, $F$11)</f>
        <v>4.7290000000000001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1.2183999999999999</v>
      </c>
      <c r="Q53" s="9"/>
      <c r="R53" s="9">
        <f t="shared" si="0"/>
        <v>0.3</v>
      </c>
      <c r="S53" s="11"/>
    </row>
    <row r="54" spans="1:19" ht="15" customHeight="1">
      <c r="A54" s="13">
        <v>42767</v>
      </c>
      <c r="B54" s="8">
        <f>CHOOSE( CONTROL!$C$33, 4.5668, 4.5657) * CHOOSE(CONTROL!$C$16, $D$11, 100%, $F$11)</f>
        <v>4.5667999999999997</v>
      </c>
      <c r="C54" s="8">
        <f>CHOOSE( CONTROL!$C$33, 4.5719, 4.5708) * CHOOSE(CONTROL!$C$16, $D$11, 100%, $F$11)</f>
        <v>4.5719000000000003</v>
      </c>
      <c r="D54" s="8">
        <f>CHOOSE( CONTROL!$C$33, 4.5744, 4.5734) * CHOOSE( CONTROL!$C$16, $D$11, 100%, $F$11)</f>
        <v>4.5743999999999998</v>
      </c>
      <c r="E54" s="12">
        <f>CHOOSE( CONTROL!$C$33, 4.5729, 4.5719) * CHOOSE( CONTROL!$C$16, $D$11, 100%, $F$11)</f>
        <v>4.5728999999999997</v>
      </c>
      <c r="F54" s="4">
        <f>CHOOSE( CONTROL!$C$33, 5.2269, 5.2259) * CHOOSE(CONTROL!$C$16, $D$11, 100%, $F$11)</f>
        <v>5.2268999999999997</v>
      </c>
      <c r="G54" s="8">
        <f>CHOOSE( CONTROL!$C$33, 4.535, 4.534) * CHOOSE( CONTROL!$C$16, $D$11, 100%, $F$11)</f>
        <v>4.5350000000000001</v>
      </c>
      <c r="H54" s="4">
        <f>CHOOSE( CONTROL!$C$33, 5.4124, 5.4113) * CHOOSE(CONTROL!$C$16, $D$11, 100%, $F$11)</f>
        <v>5.4123999999999999</v>
      </c>
      <c r="I54" s="8">
        <f>CHOOSE( CONTROL!$C$33, 4.5869, 4.5858) * CHOOSE(CONTROL!$C$16, $D$11, 100%, $F$11)</f>
        <v>4.5869</v>
      </c>
      <c r="J54" s="4">
        <f>CHOOSE( CONTROL!$C$33, 4.4233, 4.4223) * CHOOSE(CONTROL!$C$16, $D$11, 100%, $F$11)</f>
        <v>4.4233000000000002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1.1005</v>
      </c>
      <c r="Q54" s="9"/>
      <c r="R54" s="9">
        <f t="shared" si="0"/>
        <v>0.3</v>
      </c>
      <c r="S54" s="11"/>
    </row>
    <row r="55" spans="1:19" ht="15" customHeight="1">
      <c r="A55" s="13">
        <v>42795</v>
      </c>
      <c r="B55" s="8">
        <f>CHOOSE( CONTROL!$C$33, 4.4698, 4.4687) * CHOOSE(CONTROL!$C$16, $D$11, 100%, $F$11)</f>
        <v>4.4698000000000002</v>
      </c>
      <c r="C55" s="8">
        <f>CHOOSE( CONTROL!$C$33, 4.4749, 4.4738) * CHOOSE(CONTROL!$C$16, $D$11, 100%, $F$11)</f>
        <v>4.4748999999999999</v>
      </c>
      <c r="D55" s="8">
        <f>CHOOSE( CONTROL!$C$33, 4.4768, 4.4757) * CHOOSE( CONTROL!$C$16, $D$11, 100%, $F$11)</f>
        <v>4.4767999999999999</v>
      </c>
      <c r="E55" s="12">
        <f>CHOOSE( CONTROL!$C$33, 4.4756, 4.4745) * CHOOSE( CONTROL!$C$16, $D$11, 100%, $F$11)</f>
        <v>4.4756</v>
      </c>
      <c r="F55" s="4">
        <f>CHOOSE( CONTROL!$C$33, 5.1299, 5.1289) * CHOOSE(CONTROL!$C$16, $D$11, 100%, $F$11)</f>
        <v>5.1299000000000001</v>
      </c>
      <c r="G55" s="8">
        <f>CHOOSE( CONTROL!$C$33, 4.4387, 4.4376) * CHOOSE( CONTROL!$C$16, $D$11, 100%, $F$11)</f>
        <v>4.4386999999999999</v>
      </c>
      <c r="H55" s="4">
        <f>CHOOSE( CONTROL!$C$33, 5.3165, 5.3154) * CHOOSE(CONTROL!$C$16, $D$11, 100%, $F$11)</f>
        <v>5.3164999999999996</v>
      </c>
      <c r="I55" s="8">
        <f>CHOOSE( CONTROL!$C$33, 4.4906, 4.4895) * CHOOSE(CONTROL!$C$16, $D$11, 100%, $F$11)</f>
        <v>4.4905999999999997</v>
      </c>
      <c r="J55" s="4">
        <f>CHOOSE( CONTROL!$C$33, 4.3292, 4.3281) * CHOOSE(CONTROL!$C$16, $D$11, 100%, $F$11)</f>
        <v>4.3292000000000002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1.2183999999999999</v>
      </c>
      <c r="Q55" s="9"/>
      <c r="R55" s="9">
        <f t="shared" si="0"/>
        <v>0.3</v>
      </c>
      <c r="S55" s="11"/>
    </row>
    <row r="56" spans="1:19" ht="15" customHeight="1">
      <c r="A56" s="13">
        <v>42826</v>
      </c>
      <c r="B56" s="8">
        <f>CHOOSE( CONTROL!$C$33, 4.5384, 4.5373) * CHOOSE(CONTROL!$C$16, $D$11, 100%, $F$11)</f>
        <v>4.5384000000000002</v>
      </c>
      <c r="C56" s="8">
        <f>CHOOSE( CONTROL!$C$33, 4.5429, 4.5418) * CHOOSE(CONTROL!$C$16, $D$11, 100%, $F$11)</f>
        <v>4.5429000000000004</v>
      </c>
      <c r="D56" s="8">
        <f>CHOOSE( CONTROL!$C$33, 4.5608, 4.5597) * CHOOSE( CONTROL!$C$16, $D$11, 100%, $F$11)</f>
        <v>4.5608000000000004</v>
      </c>
      <c r="E56" s="12">
        <f>CHOOSE( CONTROL!$C$33, 4.5544, 4.5533) * CHOOSE( CONTROL!$C$16, $D$11, 100%, $F$11)</f>
        <v>4.5544000000000002</v>
      </c>
      <c r="F56" s="4">
        <f>CHOOSE( CONTROL!$C$33, 5.2673, 5.2662) * CHOOSE(CONTROL!$C$16, $D$11, 100%, $F$11)</f>
        <v>5.2672999999999996</v>
      </c>
      <c r="G56" s="8">
        <f>CHOOSE( CONTROL!$C$33, 4.4931, 4.492) * CHOOSE( CONTROL!$C$16, $D$11, 100%, $F$11)</f>
        <v>4.4931000000000001</v>
      </c>
      <c r="H56" s="4">
        <f>CHOOSE( CONTROL!$C$33, 5.4522, 5.4512) * CHOOSE(CONTROL!$C$16, $D$11, 100%, $F$11)</f>
        <v>5.4522000000000004</v>
      </c>
      <c r="I56" s="8">
        <f>CHOOSE( CONTROL!$C$33, 4.5216, 4.5206) * CHOOSE(CONTROL!$C$16, $D$11, 100%, $F$11)</f>
        <v>4.5216000000000003</v>
      </c>
      <c r="J56" s="4">
        <f>CHOOSE( CONTROL!$C$33, 4.395, 4.3939) * CHOOSE(CONTROL!$C$16, $D$11, 100%, $F$11)</f>
        <v>4.3949999999999996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2.0339999999999998</v>
      </c>
      <c r="Q56" s="9"/>
      <c r="R56" s="9">
        <f t="shared" si="0"/>
        <v>0.3</v>
      </c>
      <c r="S56" s="11"/>
    </row>
    <row r="57" spans="1:19" ht="15" customHeight="1">
      <c r="A57" s="13">
        <v>42856</v>
      </c>
      <c r="B57" s="8">
        <f>CHOOSE( CONTROL!$C$33, 4.6609, 4.6593) * CHOOSE(CONTROL!$C$16, $D$11, 100%, $F$11)</f>
        <v>4.6608999999999998</v>
      </c>
      <c r="C57" s="8">
        <f>CHOOSE( CONTROL!$C$33, 4.6689, 4.6672) * CHOOSE(CONTROL!$C$16, $D$11, 100%, $F$11)</f>
        <v>4.6688999999999998</v>
      </c>
      <c r="D57" s="8">
        <f>CHOOSE( CONTROL!$C$33, 4.6806, 4.679) * CHOOSE( CONTROL!$C$16, $D$11, 100%, $F$11)</f>
        <v>4.6806000000000001</v>
      </c>
      <c r="E57" s="12">
        <f>CHOOSE( CONTROL!$C$33, 4.6751, 4.6735) * CHOOSE( CONTROL!$C$16, $D$11, 100%, $F$11)</f>
        <v>4.6750999999999996</v>
      </c>
      <c r="F57" s="4">
        <f>CHOOSE( CONTROL!$C$33, 5.3885, 5.3868) * CHOOSE(CONTROL!$C$16, $D$11, 100%, $F$11)</f>
        <v>5.3884999999999996</v>
      </c>
      <c r="G57" s="8">
        <f>CHOOSE( CONTROL!$C$33, 4.6128, 4.6111) * CHOOSE( CONTROL!$C$16, $D$11, 100%, $F$11)</f>
        <v>4.6128</v>
      </c>
      <c r="H57" s="4">
        <f>CHOOSE( CONTROL!$C$33, 5.572, 5.5704) * CHOOSE(CONTROL!$C$16, $D$11, 100%, $F$11)</f>
        <v>5.5720000000000001</v>
      </c>
      <c r="I57" s="8">
        <f>CHOOSE( CONTROL!$C$33, 4.6387, 4.6371) * CHOOSE(CONTROL!$C$16, $D$11, 100%, $F$11)</f>
        <v>4.6387</v>
      </c>
      <c r="J57" s="4">
        <f>CHOOSE( CONTROL!$C$33, 4.5126, 4.511) * CHOOSE(CONTROL!$C$16, $D$11, 100%, $F$11)</f>
        <v>4.5125999999999999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2.1017999999999999</v>
      </c>
      <c r="Q57" s="9">
        <v>25.076499999999999</v>
      </c>
      <c r="R57" s="9"/>
      <c r="S57" s="11"/>
    </row>
    <row r="58" spans="1:19" ht="15" customHeight="1">
      <c r="A58" s="13">
        <v>42887</v>
      </c>
      <c r="B58" s="8">
        <f>CHOOSE( CONTROL!$C$33, 4.5862, 4.5845) * CHOOSE(CONTROL!$C$16, $D$11, 100%, $F$11)</f>
        <v>4.5861999999999998</v>
      </c>
      <c r="C58" s="8">
        <f>CHOOSE( CONTROL!$C$33, 4.5942, 4.5925) * CHOOSE(CONTROL!$C$16, $D$11, 100%, $F$11)</f>
        <v>4.5941999999999998</v>
      </c>
      <c r="D58" s="8">
        <f>CHOOSE( CONTROL!$C$33, 4.6062, 4.6045) * CHOOSE( CONTROL!$C$16, $D$11, 100%, $F$11)</f>
        <v>4.6062000000000003</v>
      </c>
      <c r="E58" s="12">
        <f>CHOOSE( CONTROL!$C$33, 4.6006, 4.5989) * CHOOSE( CONTROL!$C$16, $D$11, 100%, $F$11)</f>
        <v>4.6006</v>
      </c>
      <c r="F58" s="4">
        <f>CHOOSE( CONTROL!$C$33, 5.3137, 5.3121) * CHOOSE(CONTROL!$C$16, $D$11, 100%, $F$11)</f>
        <v>5.3136999999999999</v>
      </c>
      <c r="G58" s="8">
        <f>CHOOSE( CONTROL!$C$33, 4.5392, 4.5376) * CHOOSE( CONTROL!$C$16, $D$11, 100%, $F$11)</f>
        <v>4.5392000000000001</v>
      </c>
      <c r="H58" s="4">
        <f>CHOOSE( CONTROL!$C$33, 5.4982, 5.4965) * CHOOSE(CONTROL!$C$16, $D$11, 100%, $F$11)</f>
        <v>5.4981999999999998</v>
      </c>
      <c r="I58" s="8">
        <f>CHOOSE( CONTROL!$C$33, 4.567, 4.5654) * CHOOSE(CONTROL!$C$16, $D$11, 100%, $F$11)</f>
        <v>4.5670000000000002</v>
      </c>
      <c r="J58" s="4">
        <f>CHOOSE( CONTROL!$C$33, 4.4401, 4.4385) * CHOOSE(CONTROL!$C$16, $D$11, 100%, $F$11)</f>
        <v>4.4401000000000002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2.0339999999999998</v>
      </c>
      <c r="Q58" s="9">
        <v>24.267600000000002</v>
      </c>
      <c r="R58" s="9"/>
      <c r="S58" s="11"/>
    </row>
    <row r="59" spans="1:19" ht="15" customHeight="1">
      <c r="A59" s="13">
        <v>42917</v>
      </c>
      <c r="B59" s="8">
        <f>CHOOSE( CONTROL!$C$33, 4.783, 4.7813) * CHOOSE(CONTROL!$C$16, $D$11, 100%, $F$11)</f>
        <v>4.7830000000000004</v>
      </c>
      <c r="C59" s="8">
        <f>CHOOSE( CONTROL!$C$33, 4.791, 4.7893) * CHOOSE(CONTROL!$C$16, $D$11, 100%, $F$11)</f>
        <v>4.7910000000000004</v>
      </c>
      <c r="D59" s="8">
        <f>CHOOSE( CONTROL!$C$33, 4.8032, 4.8016) * CHOOSE( CONTROL!$C$16, $D$11, 100%, $F$11)</f>
        <v>4.8032000000000004</v>
      </c>
      <c r="E59" s="12">
        <f>CHOOSE( CONTROL!$C$33, 4.7976, 4.7959) * CHOOSE( CONTROL!$C$16, $D$11, 100%, $F$11)</f>
        <v>4.7976000000000001</v>
      </c>
      <c r="F59" s="4">
        <f>CHOOSE( CONTROL!$C$33, 5.5105, 5.5089) * CHOOSE(CONTROL!$C$16, $D$11, 100%, $F$11)</f>
        <v>5.5105000000000004</v>
      </c>
      <c r="G59" s="8">
        <f>CHOOSE( CONTROL!$C$33, 4.734, 4.7323) * CHOOSE( CONTROL!$C$16, $D$11, 100%, $F$11)</f>
        <v>4.734</v>
      </c>
      <c r="H59" s="4">
        <f>CHOOSE( CONTROL!$C$33, 5.6927, 5.691) * CHOOSE(CONTROL!$C$16, $D$11, 100%, $F$11)</f>
        <v>5.6927000000000003</v>
      </c>
      <c r="I59" s="8">
        <f>CHOOSE( CONTROL!$C$33, 4.7589, 4.7573) * CHOOSE(CONTROL!$C$16, $D$11, 100%, $F$11)</f>
        <v>4.7588999999999997</v>
      </c>
      <c r="J59" s="4">
        <f>CHOOSE( CONTROL!$C$33, 4.6311, 4.6295) * CHOOSE(CONTROL!$C$16, $D$11, 100%, $F$11)</f>
        <v>4.6311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2.1017999999999999</v>
      </c>
      <c r="Q59" s="9">
        <v>25.076499999999999</v>
      </c>
      <c r="R59" s="9"/>
      <c r="S59" s="11"/>
    </row>
    <row r="60" spans="1:19" ht="15" customHeight="1">
      <c r="A60" s="13">
        <v>42948</v>
      </c>
      <c r="B60" s="8">
        <f>CHOOSE( CONTROL!$C$33, 4.4148, 4.4131) * CHOOSE(CONTROL!$C$16, $D$11, 100%, $F$11)</f>
        <v>4.4147999999999996</v>
      </c>
      <c r="C60" s="8">
        <f>CHOOSE( CONTROL!$C$33, 4.4227, 4.4211) * CHOOSE(CONTROL!$C$16, $D$11, 100%, $F$11)</f>
        <v>4.4226999999999999</v>
      </c>
      <c r="D60" s="8">
        <f>CHOOSE( CONTROL!$C$33, 4.4351, 4.4334) * CHOOSE( CONTROL!$C$16, $D$11, 100%, $F$11)</f>
        <v>4.4351000000000003</v>
      </c>
      <c r="E60" s="12">
        <f>CHOOSE( CONTROL!$C$33, 4.4294, 4.4277) * CHOOSE( CONTROL!$C$16, $D$11, 100%, $F$11)</f>
        <v>4.4294000000000002</v>
      </c>
      <c r="F60" s="4">
        <f>CHOOSE( CONTROL!$C$33, 5.1423, 5.1407) * CHOOSE(CONTROL!$C$16, $D$11, 100%, $F$11)</f>
        <v>5.1422999999999996</v>
      </c>
      <c r="G60" s="8">
        <f>CHOOSE( CONTROL!$C$33, 4.3701, 4.3685) * CHOOSE( CONTROL!$C$16, $D$11, 100%, $F$11)</f>
        <v>4.3700999999999999</v>
      </c>
      <c r="H60" s="4">
        <f>CHOOSE( CONTROL!$C$33, 5.3287, 5.3271) * CHOOSE(CONTROL!$C$16, $D$11, 100%, $F$11)</f>
        <v>5.3287000000000004</v>
      </c>
      <c r="I60" s="8">
        <f>CHOOSE( CONTROL!$C$33, 4.4017, 4.4001) * CHOOSE(CONTROL!$C$16, $D$11, 100%, $F$11)</f>
        <v>4.4016999999999999</v>
      </c>
      <c r="J60" s="4">
        <f>CHOOSE( CONTROL!$C$33, 4.2737, 4.2721) * CHOOSE(CONTROL!$C$16, $D$11, 100%, $F$11)</f>
        <v>4.2736999999999998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2.1017999999999999</v>
      </c>
      <c r="Q60" s="9">
        <v>25.076499999999999</v>
      </c>
      <c r="R60" s="9"/>
      <c r="S60" s="11"/>
    </row>
    <row r="61" spans="1:19" ht="15" customHeight="1">
      <c r="A61" s="13">
        <v>42979</v>
      </c>
      <c r="B61" s="8">
        <f>CHOOSE( CONTROL!$C$33, 4.3226, 4.3209) * CHOOSE(CONTROL!$C$16, $D$11, 100%, $F$11)</f>
        <v>4.3226000000000004</v>
      </c>
      <c r="C61" s="8">
        <f>CHOOSE( CONTROL!$C$33, 4.3305, 4.3289) * CHOOSE(CONTROL!$C$16, $D$11, 100%, $F$11)</f>
        <v>4.3304999999999998</v>
      </c>
      <c r="D61" s="8">
        <f>CHOOSE( CONTROL!$C$33, 4.3428, 4.3411) * CHOOSE( CONTROL!$C$16, $D$11, 100%, $F$11)</f>
        <v>4.3428000000000004</v>
      </c>
      <c r="E61" s="12">
        <f>CHOOSE( CONTROL!$C$33, 4.3371, 4.3355) * CHOOSE( CONTROL!$C$16, $D$11, 100%, $F$11)</f>
        <v>4.3371000000000004</v>
      </c>
      <c r="F61" s="4">
        <f>CHOOSE( CONTROL!$C$33, 5.0501, 5.0485) * CHOOSE(CONTROL!$C$16, $D$11, 100%, $F$11)</f>
        <v>5.0500999999999996</v>
      </c>
      <c r="G61" s="8">
        <f>CHOOSE( CONTROL!$C$33, 4.2789, 4.2772) * CHOOSE( CONTROL!$C$16, $D$11, 100%, $F$11)</f>
        <v>4.2789000000000001</v>
      </c>
      <c r="H61" s="4">
        <f>CHOOSE( CONTROL!$C$33, 5.2376, 5.236) * CHOOSE(CONTROL!$C$16, $D$11, 100%, $F$11)</f>
        <v>5.2375999999999996</v>
      </c>
      <c r="I61" s="8">
        <f>CHOOSE( CONTROL!$C$33, 4.3118, 4.3101) * CHOOSE(CONTROL!$C$16, $D$11, 100%, $F$11)</f>
        <v>4.3117999999999999</v>
      </c>
      <c r="J61" s="4">
        <f>CHOOSE( CONTROL!$C$33, 4.1842, 4.1826) * CHOOSE(CONTROL!$C$16, $D$11, 100%, $F$11)</f>
        <v>4.1841999999999997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2.0339999999999998</v>
      </c>
      <c r="Q61" s="9">
        <v>24.267600000000002</v>
      </c>
      <c r="R61" s="9"/>
      <c r="S61" s="11"/>
    </row>
    <row r="62" spans="1:19" ht="15" customHeight="1">
      <c r="A62" s="13">
        <v>43009</v>
      </c>
      <c r="B62" s="8">
        <f>CHOOSE( CONTROL!$C$33, 4.5117, 4.5106) * CHOOSE(CONTROL!$C$16, $D$11, 100%, $F$11)</f>
        <v>4.5117000000000003</v>
      </c>
      <c r="C62" s="8">
        <f>CHOOSE( CONTROL!$C$33, 4.517, 4.516) * CHOOSE(CONTROL!$C$16, $D$11, 100%, $F$11)</f>
        <v>4.5170000000000003</v>
      </c>
      <c r="D62" s="8">
        <f>CHOOSE( CONTROL!$C$33, 4.5182, 4.5172) * CHOOSE( CONTROL!$C$16, $D$11, 100%, $F$11)</f>
        <v>4.5182000000000002</v>
      </c>
      <c r="E62" s="12">
        <f>CHOOSE( CONTROL!$C$33, 4.5172, 4.5162) * CHOOSE( CONTROL!$C$16, $D$11, 100%, $F$11)</f>
        <v>4.5171999999999999</v>
      </c>
      <c r="F62" s="4">
        <f>CHOOSE( CONTROL!$C$33, 5.241, 5.2399) * CHOOSE(CONTROL!$C$16, $D$11, 100%, $F$11)</f>
        <v>5.2409999999999997</v>
      </c>
      <c r="G62" s="8">
        <f>CHOOSE( CONTROL!$C$33, 4.4898, 4.4888) * CHOOSE( CONTROL!$C$16, $D$11, 100%, $F$11)</f>
        <v>4.4897999999999998</v>
      </c>
      <c r="H62" s="4">
        <f>CHOOSE( CONTROL!$C$33, 5.4263, 5.4252) * CHOOSE(CONTROL!$C$16, $D$11, 100%, $F$11)</f>
        <v>5.4263000000000003</v>
      </c>
      <c r="I62" s="8">
        <f>CHOOSE( CONTROL!$C$33, 4.498, 4.4969) * CHOOSE(CONTROL!$C$16, $D$11, 100%, $F$11)</f>
        <v>4.4980000000000002</v>
      </c>
      <c r="J62" s="4">
        <f>CHOOSE( CONTROL!$C$33, 4.3695, 4.3684) * CHOOSE(CONTROL!$C$16, $D$11, 100%, $F$11)</f>
        <v>4.3695000000000004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2.1017999999999999</v>
      </c>
      <c r="Q62" s="9">
        <v>25.076499999999999</v>
      </c>
      <c r="R62" s="9"/>
      <c r="S62" s="11"/>
    </row>
    <row r="63" spans="1:19" ht="15" customHeight="1">
      <c r="A63" s="13">
        <v>43040</v>
      </c>
      <c r="B63" s="8">
        <f>CHOOSE( CONTROL!$C$33, 4.8647, 4.8636) * CHOOSE(CONTROL!$C$16, $D$11, 100%, $F$11)</f>
        <v>4.8647</v>
      </c>
      <c r="C63" s="8">
        <f>CHOOSE( CONTROL!$C$33, 4.8698, 4.8687) * CHOOSE(CONTROL!$C$16, $D$11, 100%, $F$11)</f>
        <v>4.8697999999999997</v>
      </c>
      <c r="D63" s="8">
        <f>CHOOSE( CONTROL!$C$33, 4.8602, 4.8591) * CHOOSE( CONTROL!$C$16, $D$11, 100%, $F$11)</f>
        <v>4.8601999999999999</v>
      </c>
      <c r="E63" s="12">
        <f>CHOOSE( CONTROL!$C$33, 4.8632, 4.8621) * CHOOSE( CONTROL!$C$16, $D$11, 100%, $F$11)</f>
        <v>4.8632</v>
      </c>
      <c r="F63" s="4">
        <f>CHOOSE( CONTROL!$C$33, 5.5248, 5.5237) * CHOOSE(CONTROL!$C$16, $D$11, 100%, $F$11)</f>
        <v>5.5247999999999999</v>
      </c>
      <c r="G63" s="8">
        <f>CHOOSE( CONTROL!$C$33, 4.8256, 4.8246) * CHOOSE( CONTROL!$C$16, $D$11, 100%, $F$11)</f>
        <v>4.8255999999999997</v>
      </c>
      <c r="H63" s="4">
        <f>CHOOSE( CONTROL!$C$33, 5.7068, 5.7057) * CHOOSE(CONTROL!$C$16, $D$11, 100%, $F$11)</f>
        <v>5.7068000000000003</v>
      </c>
      <c r="I63" s="8">
        <f>CHOOSE( CONTROL!$C$33, 4.9005, 4.8994) * CHOOSE(CONTROL!$C$16, $D$11, 100%, $F$11)</f>
        <v>4.9005000000000001</v>
      </c>
      <c r="J63" s="4">
        <f>CHOOSE( CONTROL!$C$33, 4.7124, 4.7114) * CHOOSE(CONTROL!$C$16, $D$11, 100%, $F$11)</f>
        <v>4.7123999999999997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24.267600000000002</v>
      </c>
      <c r="R63" s="9"/>
      <c r="S63" s="11"/>
    </row>
    <row r="64" spans="1:19" ht="15" customHeight="1">
      <c r="A64" s="13">
        <v>43070</v>
      </c>
      <c r="B64" s="8">
        <f>CHOOSE( CONTROL!$C$33, 4.8559, 4.8548) * CHOOSE(CONTROL!$C$16, $D$11, 100%, $F$11)</f>
        <v>4.8559000000000001</v>
      </c>
      <c r="C64" s="8">
        <f>CHOOSE( CONTROL!$C$33, 4.8609, 4.8599) * CHOOSE(CONTROL!$C$16, $D$11, 100%, $F$11)</f>
        <v>4.8609</v>
      </c>
      <c r="D64" s="8">
        <f>CHOOSE( CONTROL!$C$33, 4.8528, 4.8517) * CHOOSE( CONTROL!$C$16, $D$11, 100%, $F$11)</f>
        <v>4.8528000000000002</v>
      </c>
      <c r="E64" s="12">
        <f>CHOOSE( CONTROL!$C$33, 4.8552, 4.8542) * CHOOSE( CONTROL!$C$16, $D$11, 100%, $F$11)</f>
        <v>4.8552</v>
      </c>
      <c r="F64" s="4">
        <f>CHOOSE( CONTROL!$C$33, 5.516, 5.5149) * CHOOSE(CONTROL!$C$16, $D$11, 100%, $F$11)</f>
        <v>5.516</v>
      </c>
      <c r="G64" s="8">
        <f>CHOOSE( CONTROL!$C$33, 4.8179, 4.8169) * CHOOSE( CONTROL!$C$16, $D$11, 100%, $F$11)</f>
        <v>4.8178999999999998</v>
      </c>
      <c r="H64" s="4">
        <f>CHOOSE( CONTROL!$C$33, 5.698, 5.697) * CHOOSE(CONTROL!$C$16, $D$11, 100%, $F$11)</f>
        <v>5.6980000000000004</v>
      </c>
      <c r="I64" s="8">
        <f>CHOOSE( CONTROL!$C$33, 4.8963, 4.8953) * CHOOSE(CONTROL!$C$16, $D$11, 100%, $F$11)</f>
        <v>4.8963000000000001</v>
      </c>
      <c r="J64" s="4">
        <f>CHOOSE( CONTROL!$C$33, 4.7039, 4.7028) * CHOOSE(CONTROL!$C$16, $D$11, 100%, $F$11)</f>
        <v>4.7039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25.076499999999999</v>
      </c>
      <c r="R64" s="9"/>
      <c r="S64" s="11"/>
    </row>
    <row r="65" spans="1:19" ht="15" customHeight="1">
      <c r="A65" s="13">
        <v>43101</v>
      </c>
      <c r="B65" s="8">
        <f>CHOOSE( CONTROL!$C$33, 5.1103, 5.1092) * CHOOSE(CONTROL!$C$16, $D$11, 100%, $F$11)</f>
        <v>5.1102999999999996</v>
      </c>
      <c r="C65" s="8">
        <f>CHOOSE( CONTROL!$C$33, 5.1154, 5.1143) * CHOOSE(CONTROL!$C$16, $D$11, 100%, $F$11)</f>
        <v>5.1154000000000002</v>
      </c>
      <c r="D65" s="8">
        <f>CHOOSE( CONTROL!$C$33, 5.118, 5.1169) * CHOOSE( CONTROL!$C$16, $D$11, 100%, $F$11)</f>
        <v>5.1180000000000003</v>
      </c>
      <c r="E65" s="12">
        <f>CHOOSE( CONTROL!$C$33, 5.1165, 5.1154) * CHOOSE( CONTROL!$C$16, $D$11, 100%, $F$11)</f>
        <v>5.1165000000000003</v>
      </c>
      <c r="F65" s="4">
        <f>CHOOSE( CONTROL!$C$33, 5.7704, 5.7693) * CHOOSE(CONTROL!$C$16, $D$11, 100%, $F$11)</f>
        <v>5.7704000000000004</v>
      </c>
      <c r="G65" s="8">
        <f>CHOOSE( CONTROL!$C$33, 5.0722, 5.0711) * CHOOSE( CONTROL!$C$16, $D$11, 100%, $F$11)</f>
        <v>5.0721999999999996</v>
      </c>
      <c r="H65" s="4">
        <f>CHOOSE( CONTROL!$C$33, 5.9495, 5.9484) * CHOOSE(CONTROL!$C$16, $D$11, 100%, $F$11)</f>
        <v>5.9494999999999996</v>
      </c>
      <c r="I65" s="8">
        <f>CHOOSE( CONTROL!$C$33, 5.1148, 5.1138) * CHOOSE(CONTROL!$C$16, $D$11, 100%, $F$11)</f>
        <v>5.1147999999999998</v>
      </c>
      <c r="J65" s="4">
        <f>CHOOSE( CONTROL!$C$33, 4.9508, 4.9497) * CHOOSE(CONTROL!$C$16, $D$11, 100%, $F$11)</f>
        <v>4.9508000000000001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24.901700000000002</v>
      </c>
      <c r="R65" s="9"/>
      <c r="S65" s="11"/>
    </row>
    <row r="66" spans="1:19" ht="15" customHeight="1">
      <c r="A66" s="13">
        <v>43132</v>
      </c>
      <c r="B66" s="8">
        <f>CHOOSE( CONTROL!$C$33, 4.7806, 4.7795) * CHOOSE(CONTROL!$C$16, $D$11, 100%, $F$11)</f>
        <v>4.7805999999999997</v>
      </c>
      <c r="C66" s="8">
        <f>CHOOSE( CONTROL!$C$33, 4.7856, 4.7846) * CHOOSE(CONTROL!$C$16, $D$11, 100%, $F$11)</f>
        <v>4.7855999999999996</v>
      </c>
      <c r="D66" s="8">
        <f>CHOOSE( CONTROL!$C$33, 4.7882, 4.7871) * CHOOSE( CONTROL!$C$16, $D$11, 100%, $F$11)</f>
        <v>4.7881999999999998</v>
      </c>
      <c r="E66" s="12">
        <f>CHOOSE( CONTROL!$C$33, 4.7867, 4.7856) * CHOOSE( CONTROL!$C$16, $D$11, 100%, $F$11)</f>
        <v>4.7866999999999997</v>
      </c>
      <c r="F66" s="4">
        <f>CHOOSE( CONTROL!$C$33, 5.4407, 5.4396) * CHOOSE(CONTROL!$C$16, $D$11, 100%, $F$11)</f>
        <v>5.4406999999999996</v>
      </c>
      <c r="G66" s="8">
        <f>CHOOSE( CONTROL!$C$33, 4.7463, 4.7452) * CHOOSE( CONTROL!$C$16, $D$11, 100%, $F$11)</f>
        <v>4.7462999999999997</v>
      </c>
      <c r="H66" s="4">
        <f>CHOOSE( CONTROL!$C$33, 5.6236, 5.6225) * CHOOSE(CONTROL!$C$16, $D$11, 100%, $F$11)</f>
        <v>5.6235999999999997</v>
      </c>
      <c r="I66" s="8">
        <f>CHOOSE( CONTROL!$C$33, 4.7944, 4.7934) * CHOOSE(CONTROL!$C$16, $D$11, 100%, $F$11)</f>
        <v>4.7944000000000004</v>
      </c>
      <c r="J66" s="4">
        <f>CHOOSE( CONTROL!$C$33, 4.6308, 4.6297) * CHOOSE(CONTROL!$C$16, $D$11, 100%, $F$11)</f>
        <v>4.6307999999999998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22.491800000000001</v>
      </c>
      <c r="R66" s="9"/>
      <c r="S66" s="11"/>
    </row>
    <row r="67" spans="1:19" ht="15" customHeight="1">
      <c r="A67" s="13">
        <v>43160</v>
      </c>
      <c r="B67" s="8">
        <f>CHOOSE( CONTROL!$C$33, 4.679, 4.6779) * CHOOSE(CONTROL!$C$16, $D$11, 100%, $F$11)</f>
        <v>4.6790000000000003</v>
      </c>
      <c r="C67" s="8">
        <f>CHOOSE( CONTROL!$C$33, 4.6841, 4.683) * CHOOSE(CONTROL!$C$16, $D$11, 100%, $F$11)</f>
        <v>4.6840999999999999</v>
      </c>
      <c r="D67" s="8">
        <f>CHOOSE( CONTROL!$C$33, 4.686, 4.6849) * CHOOSE( CONTROL!$C$16, $D$11, 100%, $F$11)</f>
        <v>4.6859999999999999</v>
      </c>
      <c r="E67" s="12">
        <f>CHOOSE( CONTROL!$C$33, 4.6848, 4.6837) * CHOOSE( CONTROL!$C$16, $D$11, 100%, $F$11)</f>
        <v>4.6848000000000001</v>
      </c>
      <c r="F67" s="4">
        <f>CHOOSE( CONTROL!$C$33, 5.3391, 5.3381) * CHOOSE(CONTROL!$C$16, $D$11, 100%, $F$11)</f>
        <v>5.3391000000000002</v>
      </c>
      <c r="G67" s="8">
        <f>CHOOSE( CONTROL!$C$33, 4.6454, 4.6444) * CHOOSE( CONTROL!$C$16, $D$11, 100%, $F$11)</f>
        <v>4.6454000000000004</v>
      </c>
      <c r="H67" s="4">
        <f>CHOOSE( CONTROL!$C$33, 5.5233, 5.5222) * CHOOSE(CONTROL!$C$16, $D$11, 100%, $F$11)</f>
        <v>5.5232999999999999</v>
      </c>
      <c r="I67" s="8">
        <f>CHOOSE( CONTROL!$C$33, 4.6937, 4.6926) * CHOOSE(CONTROL!$C$16, $D$11, 100%, $F$11)</f>
        <v>4.6936999999999998</v>
      </c>
      <c r="J67" s="4">
        <f>CHOOSE( CONTROL!$C$33, 4.5322, 4.5312) * CHOOSE(CONTROL!$C$16, $D$11, 100%, $F$11)</f>
        <v>4.5321999999999996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24.901700000000002</v>
      </c>
      <c r="R67" s="9"/>
      <c r="S67" s="11"/>
    </row>
    <row r="68" spans="1:19" ht="15" customHeight="1">
      <c r="A68" s="13">
        <v>43191</v>
      </c>
      <c r="B68" s="8">
        <f>CHOOSE( CONTROL!$C$33, 4.7507, 4.7497) * CHOOSE(CONTROL!$C$16, $D$11, 100%, $F$11)</f>
        <v>4.7507000000000001</v>
      </c>
      <c r="C68" s="8">
        <f>CHOOSE( CONTROL!$C$33, 4.7552, 4.7542) * CHOOSE(CONTROL!$C$16, $D$11, 100%, $F$11)</f>
        <v>4.7552000000000003</v>
      </c>
      <c r="D68" s="8">
        <f>CHOOSE( CONTROL!$C$33, 4.7796, 4.7785) * CHOOSE( CONTROL!$C$16, $D$11, 100%, $F$11)</f>
        <v>4.7796000000000003</v>
      </c>
      <c r="E68" s="12">
        <f>CHOOSE( CONTROL!$C$33, 4.771, 4.77) * CHOOSE( CONTROL!$C$16, $D$11, 100%, $F$11)</f>
        <v>4.7709999999999999</v>
      </c>
      <c r="F68" s="4">
        <f>CHOOSE( CONTROL!$C$33, 5.4797, 5.4786) * CHOOSE(CONTROL!$C$16, $D$11, 100%, $F$11)</f>
        <v>5.4797000000000002</v>
      </c>
      <c r="G68" s="8">
        <f>CHOOSE( CONTROL!$C$33, 4.7253, 4.7242) * CHOOSE( CONTROL!$C$16, $D$11, 100%, $F$11)</f>
        <v>4.7252999999999998</v>
      </c>
      <c r="H68" s="4">
        <f>CHOOSE( CONTROL!$C$33, 5.6621, 5.6611) * CHOOSE(CONTROL!$C$16, $D$11, 100%, $F$11)</f>
        <v>5.6620999999999997</v>
      </c>
      <c r="I68" s="8">
        <f>CHOOSE( CONTROL!$C$33, 4.7278, 4.7268) * CHOOSE(CONTROL!$C$16, $D$11, 100%, $F$11)</f>
        <v>4.7278000000000002</v>
      </c>
      <c r="J68" s="4">
        <f>CHOOSE( CONTROL!$C$33, 4.6011, 4.6) * CHOOSE(CONTROL!$C$16, $D$11, 100%, $F$11)</f>
        <v>4.6010999999999997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1.2509999999999999</v>
      </c>
      <c r="Q68" s="9">
        <v>24.098400000000002</v>
      </c>
      <c r="R68" s="9"/>
      <c r="S68" s="11"/>
    </row>
    <row r="69" spans="1:19" ht="15" customHeight="1">
      <c r="A69" s="13">
        <v>43221</v>
      </c>
      <c r="B69" s="8">
        <f>CHOOSE( CONTROL!$C$33, 4.879, 4.8773) * CHOOSE(CONTROL!$C$16, $D$11, 100%, $F$11)</f>
        <v>4.8789999999999996</v>
      </c>
      <c r="C69" s="8">
        <f>CHOOSE( CONTROL!$C$33, 4.8869, 4.8853) * CHOOSE(CONTROL!$C$16, $D$11, 100%, $F$11)</f>
        <v>4.8868999999999998</v>
      </c>
      <c r="D69" s="8">
        <f>CHOOSE( CONTROL!$C$33, 4.9052, 4.9036) * CHOOSE( CONTROL!$C$16, $D$11, 100%, $F$11)</f>
        <v>4.9051999999999998</v>
      </c>
      <c r="E69" s="12">
        <f>CHOOSE( CONTROL!$C$33, 4.8974, 4.8957) * CHOOSE( CONTROL!$C$16, $D$11, 100%, $F$11)</f>
        <v>4.8974000000000002</v>
      </c>
      <c r="F69" s="4">
        <f>CHOOSE( CONTROL!$C$33, 5.6065, 5.6049) * CHOOSE(CONTROL!$C$16, $D$11, 100%, $F$11)</f>
        <v>5.6064999999999996</v>
      </c>
      <c r="G69" s="8">
        <f>CHOOSE( CONTROL!$C$33, 4.8505, 4.8489) * CHOOSE( CONTROL!$C$16, $D$11, 100%, $F$11)</f>
        <v>4.8505000000000003</v>
      </c>
      <c r="H69" s="4">
        <f>CHOOSE( CONTROL!$C$33, 5.7875, 5.7859) * CHOOSE(CONTROL!$C$16, $D$11, 100%, $F$11)</f>
        <v>5.7874999999999996</v>
      </c>
      <c r="I69" s="8">
        <f>CHOOSE( CONTROL!$C$33, 4.8504, 4.8488) * CHOOSE(CONTROL!$C$16, $D$11, 100%, $F$11)</f>
        <v>4.8503999999999996</v>
      </c>
      <c r="J69" s="4">
        <f>CHOOSE( CONTROL!$C$33, 4.7242, 4.7226) * CHOOSE(CONTROL!$C$16, $D$11, 100%, $F$11)</f>
        <v>4.7241999999999997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1.2927</v>
      </c>
      <c r="Q69" s="9">
        <v>24.901700000000002</v>
      </c>
      <c r="R69" s="9"/>
      <c r="S69" s="11"/>
    </row>
    <row r="70" spans="1:19" ht="15" customHeight="1">
      <c r="A70" s="13">
        <v>43252</v>
      </c>
      <c r="B70" s="8">
        <f>CHOOSE( CONTROL!$C$33, 4.8007, 4.7991) * CHOOSE(CONTROL!$C$16, $D$11, 100%, $F$11)</f>
        <v>4.8007</v>
      </c>
      <c r="C70" s="8">
        <f>CHOOSE( CONTROL!$C$33, 4.8087, 4.8071) * CHOOSE(CONTROL!$C$16, $D$11, 100%, $F$11)</f>
        <v>4.8087</v>
      </c>
      <c r="D70" s="8">
        <f>CHOOSE( CONTROL!$C$33, 4.8273, 4.8256) * CHOOSE( CONTROL!$C$16, $D$11, 100%, $F$11)</f>
        <v>4.8273000000000001</v>
      </c>
      <c r="E70" s="12">
        <f>CHOOSE( CONTROL!$C$33, 4.8193, 4.8177) * CHOOSE( CONTROL!$C$16, $D$11, 100%, $F$11)</f>
        <v>4.8193000000000001</v>
      </c>
      <c r="F70" s="4">
        <f>CHOOSE( CONTROL!$C$33, 5.5283, 5.5266) * CHOOSE(CONTROL!$C$16, $D$11, 100%, $F$11)</f>
        <v>5.5282999999999998</v>
      </c>
      <c r="G70" s="8">
        <f>CHOOSE( CONTROL!$C$33, 4.7734, 4.7718) * CHOOSE( CONTROL!$C$16, $D$11, 100%, $F$11)</f>
        <v>4.7733999999999996</v>
      </c>
      <c r="H70" s="4">
        <f>CHOOSE( CONTROL!$C$33, 5.7102, 5.7085) * CHOOSE(CONTROL!$C$16, $D$11, 100%, $F$11)</f>
        <v>5.7102000000000004</v>
      </c>
      <c r="I70" s="8">
        <f>CHOOSE( CONTROL!$C$33, 4.7753, 4.7737) * CHOOSE(CONTROL!$C$16, $D$11, 100%, $F$11)</f>
        <v>4.7752999999999997</v>
      </c>
      <c r="J70" s="4">
        <f>CHOOSE( CONTROL!$C$33, 4.6483, 4.6467) * CHOOSE(CONTROL!$C$16, $D$11, 100%, $F$11)</f>
        <v>4.6482999999999999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1.2509999999999999</v>
      </c>
      <c r="Q70" s="9">
        <v>24.098400000000002</v>
      </c>
      <c r="R70" s="9"/>
      <c r="S70" s="11"/>
    </row>
    <row r="71" spans="1:19" ht="15" customHeight="1">
      <c r="A71" s="13">
        <v>43282</v>
      </c>
      <c r="B71" s="8">
        <f>CHOOSE( CONTROL!$C$33, 5.0068, 5.0051) * CHOOSE(CONTROL!$C$16, $D$11, 100%, $F$11)</f>
        <v>5.0068000000000001</v>
      </c>
      <c r="C71" s="8">
        <f>CHOOSE( CONTROL!$C$33, 5.0147, 5.0131) * CHOOSE(CONTROL!$C$16, $D$11, 100%, $F$11)</f>
        <v>5.0147000000000004</v>
      </c>
      <c r="D71" s="8">
        <f>CHOOSE( CONTROL!$C$33, 5.0335, 5.0319) * CHOOSE( CONTROL!$C$16, $D$11, 100%, $F$11)</f>
        <v>5.0335000000000001</v>
      </c>
      <c r="E71" s="12">
        <f>CHOOSE( CONTROL!$C$33, 5.0255, 5.0239) * CHOOSE( CONTROL!$C$16, $D$11, 100%, $F$11)</f>
        <v>5.0255000000000001</v>
      </c>
      <c r="F71" s="4">
        <f>CHOOSE( CONTROL!$C$33, 5.7343, 5.7327) * CHOOSE(CONTROL!$C$16, $D$11, 100%, $F$11)</f>
        <v>5.7343000000000002</v>
      </c>
      <c r="G71" s="8">
        <f>CHOOSE( CONTROL!$C$33, 4.9772, 4.9756) * CHOOSE( CONTROL!$C$16, $D$11, 100%, $F$11)</f>
        <v>4.9771999999999998</v>
      </c>
      <c r="H71" s="4">
        <f>CHOOSE( CONTROL!$C$33, 5.9138, 5.9122) * CHOOSE(CONTROL!$C$16, $D$11, 100%, $F$11)</f>
        <v>5.9138000000000002</v>
      </c>
      <c r="I71" s="8">
        <f>CHOOSE( CONTROL!$C$33, 4.9762, 4.9746) * CHOOSE(CONTROL!$C$16, $D$11, 100%, $F$11)</f>
        <v>4.9762000000000004</v>
      </c>
      <c r="J71" s="4">
        <f>CHOOSE( CONTROL!$C$33, 4.8482, 4.8466) * CHOOSE(CONTROL!$C$16, $D$11, 100%, $F$11)</f>
        <v>4.8482000000000003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1.2927</v>
      </c>
      <c r="Q71" s="9">
        <v>24.901700000000002</v>
      </c>
      <c r="R71" s="9"/>
      <c r="S71" s="11"/>
    </row>
    <row r="72" spans="1:19" ht="15" customHeight="1">
      <c r="A72" s="13">
        <v>43313</v>
      </c>
      <c r="B72" s="8">
        <f>CHOOSE( CONTROL!$C$33, 4.6213, 4.6196) * CHOOSE(CONTROL!$C$16, $D$11, 100%, $F$11)</f>
        <v>4.6212999999999997</v>
      </c>
      <c r="C72" s="8">
        <f>CHOOSE( CONTROL!$C$33, 4.6292, 4.6276) * CHOOSE(CONTROL!$C$16, $D$11, 100%, $F$11)</f>
        <v>4.6292</v>
      </c>
      <c r="D72" s="8">
        <f>CHOOSE( CONTROL!$C$33, 4.6481, 4.6465) * CHOOSE( CONTROL!$C$16, $D$11, 100%, $F$11)</f>
        <v>4.6481000000000003</v>
      </c>
      <c r="E72" s="12">
        <f>CHOOSE( CONTROL!$C$33, 4.64, 4.6384) * CHOOSE( CONTROL!$C$16, $D$11, 100%, $F$11)</f>
        <v>4.6399999999999997</v>
      </c>
      <c r="F72" s="4">
        <f>CHOOSE( CONTROL!$C$33, 5.3488, 5.3472) * CHOOSE(CONTROL!$C$16, $D$11, 100%, $F$11)</f>
        <v>5.3487999999999998</v>
      </c>
      <c r="G72" s="8">
        <f>CHOOSE( CONTROL!$C$33, 4.5963, 4.5947) * CHOOSE( CONTROL!$C$16, $D$11, 100%, $F$11)</f>
        <v>4.5963000000000003</v>
      </c>
      <c r="H72" s="4">
        <f>CHOOSE( CONTROL!$C$33, 5.5328, 5.5312) * CHOOSE(CONTROL!$C$16, $D$11, 100%, $F$11)</f>
        <v>5.5327999999999999</v>
      </c>
      <c r="I72" s="8">
        <f>CHOOSE( CONTROL!$C$33, 4.6022, 4.6006) * CHOOSE(CONTROL!$C$16, $D$11, 100%, $F$11)</f>
        <v>4.6021999999999998</v>
      </c>
      <c r="J72" s="4">
        <f>CHOOSE( CONTROL!$C$33, 4.4741, 4.4725) * CHOOSE(CONTROL!$C$16, $D$11, 100%, $F$11)</f>
        <v>4.4741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1.2927</v>
      </c>
      <c r="Q72" s="9">
        <v>24.901700000000002</v>
      </c>
      <c r="R72" s="9"/>
      <c r="S72" s="11"/>
    </row>
    <row r="73" spans="1:19" ht="15" customHeight="1">
      <c r="A73" s="13">
        <v>43344</v>
      </c>
      <c r="B73" s="8">
        <f>CHOOSE( CONTROL!$C$33, 4.5247, 4.5231) * CHOOSE(CONTROL!$C$16, $D$11, 100%, $F$11)</f>
        <v>4.5247000000000002</v>
      </c>
      <c r="C73" s="8">
        <f>CHOOSE( CONTROL!$C$33, 4.5327, 4.531) * CHOOSE(CONTROL!$C$16, $D$11, 100%, $F$11)</f>
        <v>4.5327000000000002</v>
      </c>
      <c r="D73" s="8">
        <f>CHOOSE( CONTROL!$C$33, 4.5515, 4.5498) * CHOOSE( CONTROL!$C$16, $D$11, 100%, $F$11)</f>
        <v>4.5514999999999999</v>
      </c>
      <c r="E73" s="12">
        <f>CHOOSE( CONTROL!$C$33, 4.5435, 4.5418) * CHOOSE( CONTROL!$C$16, $D$11, 100%, $F$11)</f>
        <v>4.5434999999999999</v>
      </c>
      <c r="F73" s="4">
        <f>CHOOSE( CONTROL!$C$33, 5.2523, 5.2506) * CHOOSE(CONTROL!$C$16, $D$11, 100%, $F$11)</f>
        <v>5.2523</v>
      </c>
      <c r="G73" s="8">
        <f>CHOOSE( CONTROL!$C$33, 4.5008, 4.4992) * CHOOSE( CONTROL!$C$16, $D$11, 100%, $F$11)</f>
        <v>4.5007999999999999</v>
      </c>
      <c r="H73" s="4">
        <f>CHOOSE( CONTROL!$C$33, 5.4374, 5.4358) * CHOOSE(CONTROL!$C$16, $D$11, 100%, $F$11)</f>
        <v>5.4374000000000002</v>
      </c>
      <c r="I73" s="8">
        <f>CHOOSE( CONTROL!$C$33, 4.5081, 4.5064) * CHOOSE(CONTROL!$C$16, $D$11, 100%, $F$11)</f>
        <v>4.5080999999999998</v>
      </c>
      <c r="J73" s="4">
        <f>CHOOSE( CONTROL!$C$33, 4.3804, 4.3788) * CHOOSE(CONTROL!$C$16, $D$11, 100%, $F$11)</f>
        <v>4.3803999999999998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1.2509999999999999</v>
      </c>
      <c r="Q73" s="9">
        <v>24.098400000000002</v>
      </c>
      <c r="R73" s="9"/>
      <c r="S73" s="11"/>
    </row>
    <row r="74" spans="1:19" ht="15" customHeight="1">
      <c r="A74" s="13">
        <v>43374</v>
      </c>
      <c r="B74" s="8">
        <f>CHOOSE( CONTROL!$C$33, 4.7229, 4.7218) * CHOOSE(CONTROL!$C$16, $D$11, 100%, $F$11)</f>
        <v>4.7229000000000001</v>
      </c>
      <c r="C74" s="8">
        <f>CHOOSE( CONTROL!$C$33, 4.7282, 4.7271) * CHOOSE(CONTROL!$C$16, $D$11, 100%, $F$11)</f>
        <v>4.7282000000000002</v>
      </c>
      <c r="D74" s="8">
        <f>CHOOSE( CONTROL!$C$33, 4.7526, 4.7515) * CHOOSE( CONTROL!$C$16, $D$11, 100%, $F$11)</f>
        <v>4.7526000000000002</v>
      </c>
      <c r="E74" s="12">
        <f>CHOOSE( CONTROL!$C$33, 4.744, 4.7429) * CHOOSE( CONTROL!$C$16, $D$11, 100%, $F$11)</f>
        <v>4.7439999999999998</v>
      </c>
      <c r="F74" s="4">
        <f>CHOOSE( CONTROL!$C$33, 5.4521, 5.4511) * CHOOSE(CONTROL!$C$16, $D$11, 100%, $F$11)</f>
        <v>5.4520999999999997</v>
      </c>
      <c r="G74" s="8">
        <f>CHOOSE( CONTROL!$C$33, 4.6985, 4.6974) * CHOOSE( CONTROL!$C$16, $D$11, 100%, $F$11)</f>
        <v>4.6985000000000001</v>
      </c>
      <c r="H74" s="4">
        <f>CHOOSE( CONTROL!$C$33, 5.6349, 5.6339) * CHOOSE(CONTROL!$C$16, $D$11, 100%, $F$11)</f>
        <v>5.6349</v>
      </c>
      <c r="I74" s="8">
        <f>CHOOSE( CONTROL!$C$33, 4.703, 4.702) * CHOOSE(CONTROL!$C$16, $D$11, 100%, $F$11)</f>
        <v>4.7030000000000003</v>
      </c>
      <c r="J74" s="4">
        <f>CHOOSE( CONTROL!$C$33, 4.5744, 4.5733) * CHOOSE(CONTROL!$C$16, $D$11, 100%, $F$11)</f>
        <v>4.5743999999999998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1.2927</v>
      </c>
      <c r="Q74" s="9">
        <v>24.901700000000002</v>
      </c>
      <c r="R74" s="9"/>
      <c r="S74" s="11"/>
    </row>
    <row r="75" spans="1:19" ht="15" customHeight="1">
      <c r="A75" s="13">
        <v>43405</v>
      </c>
      <c r="B75" s="8">
        <f>CHOOSE( CONTROL!$C$33, 5.0924, 5.0913) * CHOOSE(CONTROL!$C$16, $D$11, 100%, $F$11)</f>
        <v>5.0923999999999996</v>
      </c>
      <c r="C75" s="8">
        <f>CHOOSE( CONTROL!$C$33, 5.0975, 5.0964) * CHOOSE(CONTROL!$C$16, $D$11, 100%, $F$11)</f>
        <v>5.0975000000000001</v>
      </c>
      <c r="D75" s="8">
        <f>CHOOSE( CONTROL!$C$33, 5.0879, 5.0868) * CHOOSE( CONTROL!$C$16, $D$11, 100%, $F$11)</f>
        <v>5.0879000000000003</v>
      </c>
      <c r="E75" s="12">
        <f>CHOOSE( CONTROL!$C$33, 5.0909, 5.0898) * CHOOSE( CONTROL!$C$16, $D$11, 100%, $F$11)</f>
        <v>5.0909000000000004</v>
      </c>
      <c r="F75" s="4">
        <f>CHOOSE( CONTROL!$C$33, 5.7526, 5.7515) * CHOOSE(CONTROL!$C$16, $D$11, 100%, $F$11)</f>
        <v>5.7526000000000002</v>
      </c>
      <c r="G75" s="8">
        <f>CHOOSE( CONTROL!$C$33, 5.0507, 5.0496) * CHOOSE( CONTROL!$C$16, $D$11, 100%, $F$11)</f>
        <v>5.0507</v>
      </c>
      <c r="H75" s="4">
        <f>CHOOSE( CONTROL!$C$33, 5.9318, 5.9308) * CHOOSE(CONTROL!$C$16, $D$11, 100%, $F$11)</f>
        <v>5.9318</v>
      </c>
      <c r="I75" s="8">
        <f>CHOOSE( CONTROL!$C$33, 5.1216, 5.1205) * CHOOSE(CONTROL!$C$16, $D$11, 100%, $F$11)</f>
        <v>5.1215999999999999</v>
      </c>
      <c r="J75" s="4">
        <f>CHOOSE( CONTROL!$C$33, 4.9334, 4.9324) * CHOOSE(CONTROL!$C$16, $D$11, 100%, $F$11)</f>
        <v>4.9333999999999998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24.098400000000002</v>
      </c>
      <c r="R75" s="9"/>
      <c r="S75" s="11"/>
    </row>
    <row r="76" spans="1:19" ht="15" customHeight="1">
      <c r="A76" s="13">
        <v>43435</v>
      </c>
      <c r="B76" s="8">
        <f>CHOOSE( CONTROL!$C$33, 5.0832, 5.0821) * CHOOSE(CONTROL!$C$16, $D$11, 100%, $F$11)</f>
        <v>5.0831999999999997</v>
      </c>
      <c r="C76" s="8">
        <f>CHOOSE( CONTROL!$C$33, 5.0883, 5.0872) * CHOOSE(CONTROL!$C$16, $D$11, 100%, $F$11)</f>
        <v>5.0883000000000003</v>
      </c>
      <c r="D76" s="8">
        <f>CHOOSE( CONTROL!$C$33, 5.0801, 5.079) * CHOOSE( CONTROL!$C$16, $D$11, 100%, $F$11)</f>
        <v>5.0800999999999998</v>
      </c>
      <c r="E76" s="12">
        <f>CHOOSE( CONTROL!$C$33, 5.0826, 5.0815) * CHOOSE( CONTROL!$C$16, $D$11, 100%, $F$11)</f>
        <v>5.0826000000000002</v>
      </c>
      <c r="F76" s="4">
        <f>CHOOSE( CONTROL!$C$33, 5.7433, 5.7422) * CHOOSE(CONTROL!$C$16, $D$11, 100%, $F$11)</f>
        <v>5.7432999999999996</v>
      </c>
      <c r="G76" s="8">
        <f>CHOOSE( CONTROL!$C$33, 5.0426, 5.0415) * CHOOSE( CONTROL!$C$16, $D$11, 100%, $F$11)</f>
        <v>5.0426000000000002</v>
      </c>
      <c r="H76" s="4">
        <f>CHOOSE( CONTROL!$C$33, 5.9227, 5.9216) * CHOOSE(CONTROL!$C$16, $D$11, 100%, $F$11)</f>
        <v>5.9226999999999999</v>
      </c>
      <c r="I76" s="8">
        <f>CHOOSE( CONTROL!$C$33, 5.1171, 5.116) * CHOOSE(CONTROL!$C$16, $D$11, 100%, $F$11)</f>
        <v>5.1170999999999998</v>
      </c>
      <c r="J76" s="4">
        <f>CHOOSE( CONTROL!$C$33, 4.9245, 4.9234) * CHOOSE(CONTROL!$C$16, $D$11, 100%, $F$11)</f>
        <v>4.9245000000000001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24.901700000000002</v>
      </c>
      <c r="R76" s="9"/>
      <c r="S76" s="11"/>
    </row>
    <row r="77" spans="1:19" ht="15" customHeight="1">
      <c r="A77" s="13">
        <v>43466</v>
      </c>
      <c r="B77" s="8">
        <f>CHOOSE( CONTROL!$C$33, 5.7811, 5.78) * CHOOSE(CONTROL!$C$16, $D$11, 100%, $F$11)</f>
        <v>5.7811000000000003</v>
      </c>
      <c r="C77" s="8">
        <f>CHOOSE( CONTROL!$C$33, 5.7862, 5.7851) * CHOOSE(CONTROL!$C$16, $D$11, 100%, $F$11)</f>
        <v>5.7862</v>
      </c>
      <c r="D77" s="8">
        <f>CHOOSE( CONTROL!$C$33, 5.7888, 5.7877) * CHOOSE( CONTROL!$C$16, $D$11, 100%, $F$11)</f>
        <v>5.7888000000000002</v>
      </c>
      <c r="E77" s="12">
        <f>CHOOSE( CONTROL!$C$33, 5.7873, 5.7862) * CHOOSE( CONTROL!$C$16, $D$11, 100%, $F$11)</f>
        <v>5.7873000000000001</v>
      </c>
      <c r="F77" s="4">
        <f>CHOOSE( CONTROL!$C$33, 6.4412, 6.4402) * CHOOSE(CONTROL!$C$16, $D$11, 100%, $F$11)</f>
        <v>6.4412000000000003</v>
      </c>
      <c r="G77" s="8">
        <f>CHOOSE( CONTROL!$C$33, 5.7352, 5.7341) * CHOOSE( CONTROL!$C$16, $D$11, 100%, $F$11)</f>
        <v>5.7351999999999999</v>
      </c>
      <c r="H77" s="4">
        <f>CHOOSE( CONTROL!$C$33, 6.6125, 6.6114) * CHOOSE(CONTROL!$C$16, $D$11, 100%, $F$11)</f>
        <v>6.6124999999999998</v>
      </c>
      <c r="I77" s="8">
        <f>CHOOSE( CONTROL!$C$33, 5.7662, 5.7652) * CHOOSE(CONTROL!$C$16, $D$11, 100%, $F$11)</f>
        <v>5.7662000000000004</v>
      </c>
      <c r="J77" s="4">
        <f>CHOOSE( CONTROL!$C$33, 5.6018, 5.6008) * CHOOSE(CONTROL!$C$16, $D$11, 100%, $F$11)</f>
        <v>5.6017999999999999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24.651199999999999</v>
      </c>
      <c r="R77" s="9"/>
      <c r="S77" s="11"/>
    </row>
    <row r="78" spans="1:19" ht="15" customHeight="1">
      <c r="A78" s="13">
        <v>43497</v>
      </c>
      <c r="B78" s="8">
        <f>CHOOSE( CONTROL!$C$33, 5.408, 5.4069) * CHOOSE(CONTROL!$C$16, $D$11, 100%, $F$11)</f>
        <v>5.4080000000000004</v>
      </c>
      <c r="C78" s="8">
        <f>CHOOSE( CONTROL!$C$33, 5.4131, 5.412) * CHOOSE(CONTROL!$C$16, $D$11, 100%, $F$11)</f>
        <v>5.4131</v>
      </c>
      <c r="D78" s="8">
        <f>CHOOSE( CONTROL!$C$33, 5.4157, 5.4146) * CHOOSE( CONTROL!$C$16, $D$11, 100%, $F$11)</f>
        <v>5.4157000000000002</v>
      </c>
      <c r="E78" s="12">
        <f>CHOOSE( CONTROL!$C$33, 5.4142, 5.4131) * CHOOSE( CONTROL!$C$16, $D$11, 100%, $F$11)</f>
        <v>5.4142000000000001</v>
      </c>
      <c r="F78" s="4">
        <f>CHOOSE( CONTROL!$C$33, 6.0682, 6.0671) * CHOOSE(CONTROL!$C$16, $D$11, 100%, $F$11)</f>
        <v>6.0682</v>
      </c>
      <c r="G78" s="8">
        <f>CHOOSE( CONTROL!$C$33, 5.3664, 5.3653) * CHOOSE( CONTROL!$C$16, $D$11, 100%, $F$11)</f>
        <v>5.3663999999999996</v>
      </c>
      <c r="H78" s="4">
        <f>CHOOSE( CONTROL!$C$33, 6.2437, 6.2427) * CHOOSE(CONTROL!$C$16, $D$11, 100%, $F$11)</f>
        <v>6.2436999999999996</v>
      </c>
      <c r="I78" s="8">
        <f>CHOOSE( CONTROL!$C$33, 5.4037, 5.4026) * CHOOSE(CONTROL!$C$16, $D$11, 100%, $F$11)</f>
        <v>5.4036999999999997</v>
      </c>
      <c r="J78" s="4">
        <f>CHOOSE( CONTROL!$C$33, 5.2397, 5.2387) * CHOOSE(CONTROL!$C$16, $D$11, 100%, $F$11)</f>
        <v>5.2397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22.265599999999999</v>
      </c>
      <c r="R78" s="9"/>
      <c r="S78" s="11"/>
    </row>
    <row r="79" spans="1:19" ht="15" customHeight="1">
      <c r="A79" s="13">
        <v>43525</v>
      </c>
      <c r="B79" s="8">
        <f>CHOOSE( CONTROL!$C$33, 5.2931, 5.292) * CHOOSE(CONTROL!$C$16, $D$11, 100%, $F$11)</f>
        <v>5.2930999999999999</v>
      </c>
      <c r="C79" s="8">
        <f>CHOOSE( CONTROL!$C$33, 5.2982, 5.2971) * CHOOSE(CONTROL!$C$16, $D$11, 100%, $F$11)</f>
        <v>5.2981999999999996</v>
      </c>
      <c r="D79" s="8">
        <f>CHOOSE( CONTROL!$C$33, 5.3001, 5.299) * CHOOSE( CONTROL!$C$16, $D$11, 100%, $F$11)</f>
        <v>5.3000999999999996</v>
      </c>
      <c r="E79" s="12">
        <f>CHOOSE( CONTROL!$C$33, 5.2989, 5.2978) * CHOOSE( CONTROL!$C$16, $D$11, 100%, $F$11)</f>
        <v>5.2988999999999997</v>
      </c>
      <c r="F79" s="4">
        <f>CHOOSE( CONTROL!$C$33, 5.9532, 5.9522) * CHOOSE(CONTROL!$C$16, $D$11, 100%, $F$11)</f>
        <v>5.9531999999999998</v>
      </c>
      <c r="G79" s="8">
        <f>CHOOSE( CONTROL!$C$33, 5.2523, 5.2513) * CHOOSE( CONTROL!$C$16, $D$11, 100%, $F$11)</f>
        <v>5.2523</v>
      </c>
      <c r="H79" s="4">
        <f>CHOOSE( CONTROL!$C$33, 6.1302, 6.1291) * CHOOSE(CONTROL!$C$16, $D$11, 100%, $F$11)</f>
        <v>6.1302000000000003</v>
      </c>
      <c r="I79" s="8">
        <f>CHOOSE( CONTROL!$C$33, 5.29, 5.2889) * CHOOSE(CONTROL!$C$16, $D$11, 100%, $F$11)</f>
        <v>5.29</v>
      </c>
      <c r="J79" s="4">
        <f>CHOOSE( CONTROL!$C$33, 5.1282, 5.1272) * CHOOSE(CONTROL!$C$16, $D$11, 100%, $F$11)</f>
        <v>5.1281999999999996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24.651199999999999</v>
      </c>
      <c r="R79" s="9"/>
      <c r="S79" s="11"/>
    </row>
    <row r="80" spans="1:19" ht="15" customHeight="1">
      <c r="A80" s="13">
        <v>43556</v>
      </c>
      <c r="B80" s="8">
        <f>CHOOSE( CONTROL!$C$33, 5.3742, 5.3731) * CHOOSE(CONTROL!$C$16, $D$11, 100%, $F$11)</f>
        <v>5.3742000000000001</v>
      </c>
      <c r="C80" s="8">
        <f>CHOOSE( CONTROL!$C$33, 5.3787, 5.3776) * CHOOSE(CONTROL!$C$16, $D$11, 100%, $F$11)</f>
        <v>5.3787000000000003</v>
      </c>
      <c r="D80" s="8">
        <f>CHOOSE( CONTROL!$C$33, 5.403, 5.402) * CHOOSE( CONTROL!$C$16, $D$11, 100%, $F$11)</f>
        <v>5.4029999999999996</v>
      </c>
      <c r="E80" s="12">
        <f>CHOOSE( CONTROL!$C$33, 5.3945, 5.3934) * CHOOSE( CONTROL!$C$16, $D$11, 100%, $F$11)</f>
        <v>5.3944999999999999</v>
      </c>
      <c r="F80" s="4">
        <f>CHOOSE( CONTROL!$C$33, 6.1031, 6.102) * CHOOSE(CONTROL!$C$16, $D$11, 100%, $F$11)</f>
        <v>6.1031000000000004</v>
      </c>
      <c r="G80" s="8">
        <f>CHOOSE( CONTROL!$C$33, 5.3414, 5.3403) * CHOOSE( CONTROL!$C$16, $D$11, 100%, $F$11)</f>
        <v>5.3414000000000001</v>
      </c>
      <c r="H80" s="4">
        <f>CHOOSE( CONTROL!$C$33, 6.2783, 6.2772) * CHOOSE(CONTROL!$C$16, $D$11, 100%, $F$11)</f>
        <v>6.2782999999999998</v>
      </c>
      <c r="I80" s="8">
        <f>CHOOSE( CONTROL!$C$33, 5.3332, 5.3322) * CHOOSE(CONTROL!$C$16, $D$11, 100%, $F$11)</f>
        <v>5.3331999999999997</v>
      </c>
      <c r="J80" s="4">
        <f>CHOOSE( CONTROL!$C$33, 5.2061, 5.2051) * CHOOSE(CONTROL!$C$16, $D$11, 100%, $F$11)</f>
        <v>5.2061000000000002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1.2509999999999999</v>
      </c>
      <c r="Q80" s="9">
        <v>23.856000000000002</v>
      </c>
      <c r="R80" s="9"/>
      <c r="S80" s="11"/>
    </row>
    <row r="81" spans="1:19" ht="15" customHeight="1">
      <c r="A81" s="13">
        <v>43586</v>
      </c>
      <c r="B81" s="8">
        <f>CHOOSE( CONTROL!$C$33, 5.519, 5.5174) * CHOOSE(CONTROL!$C$16, $D$11, 100%, $F$11)</f>
        <v>5.5190000000000001</v>
      </c>
      <c r="C81" s="8">
        <f>CHOOSE( CONTROL!$C$33, 5.527, 5.5253) * CHOOSE(CONTROL!$C$16, $D$11, 100%, $F$11)</f>
        <v>5.5270000000000001</v>
      </c>
      <c r="D81" s="8">
        <f>CHOOSE( CONTROL!$C$33, 5.5453, 5.5436) * CHOOSE( CONTROL!$C$16, $D$11, 100%, $F$11)</f>
        <v>5.5453000000000001</v>
      </c>
      <c r="E81" s="12">
        <f>CHOOSE( CONTROL!$C$33, 5.5374, 5.5358) * CHOOSE( CONTROL!$C$16, $D$11, 100%, $F$11)</f>
        <v>5.5373999999999999</v>
      </c>
      <c r="F81" s="4">
        <f>CHOOSE( CONTROL!$C$33, 6.2466, 6.2449) * CHOOSE(CONTROL!$C$16, $D$11, 100%, $F$11)</f>
        <v>6.2465999999999999</v>
      </c>
      <c r="G81" s="8">
        <f>CHOOSE( CONTROL!$C$33, 5.4831, 5.4815) * CHOOSE( CONTROL!$C$16, $D$11, 100%, $F$11)</f>
        <v>5.4831000000000003</v>
      </c>
      <c r="H81" s="4">
        <f>CHOOSE( CONTROL!$C$33, 6.4201, 6.4184) * CHOOSE(CONTROL!$C$16, $D$11, 100%, $F$11)</f>
        <v>6.4200999999999997</v>
      </c>
      <c r="I81" s="8">
        <f>CHOOSE( CONTROL!$C$33, 5.4719, 5.4703) * CHOOSE(CONTROL!$C$16, $D$11, 100%, $F$11)</f>
        <v>5.4718999999999998</v>
      </c>
      <c r="J81" s="4">
        <f>CHOOSE( CONTROL!$C$33, 5.3454, 5.3438) * CHOOSE(CONTROL!$C$16, $D$11, 100%, $F$11)</f>
        <v>5.3453999999999997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1.2927</v>
      </c>
      <c r="Q81" s="9">
        <v>24.651199999999999</v>
      </c>
      <c r="R81" s="9"/>
      <c r="S81" s="11"/>
    </row>
    <row r="82" spans="1:19" ht="15" customHeight="1">
      <c r="A82" s="13">
        <v>43617</v>
      </c>
      <c r="B82" s="8">
        <f>CHOOSE( CONTROL!$C$33, 5.4305, 5.4288) * CHOOSE(CONTROL!$C$16, $D$11, 100%, $F$11)</f>
        <v>5.4305000000000003</v>
      </c>
      <c r="C82" s="8">
        <f>CHOOSE( CONTROL!$C$33, 5.4385, 5.4368) * CHOOSE(CONTROL!$C$16, $D$11, 100%, $F$11)</f>
        <v>5.4385000000000003</v>
      </c>
      <c r="D82" s="8">
        <f>CHOOSE( CONTROL!$C$33, 5.457, 5.4554) * CHOOSE( CONTROL!$C$16, $D$11, 100%, $F$11)</f>
        <v>5.4569999999999999</v>
      </c>
      <c r="E82" s="12">
        <f>CHOOSE( CONTROL!$C$33, 5.4491, 5.4474) * CHOOSE( CONTROL!$C$16, $D$11, 100%, $F$11)</f>
        <v>5.4490999999999996</v>
      </c>
      <c r="F82" s="4">
        <f>CHOOSE( CONTROL!$C$33, 6.158, 6.1564) * CHOOSE(CONTROL!$C$16, $D$11, 100%, $F$11)</f>
        <v>6.1580000000000004</v>
      </c>
      <c r="G82" s="8">
        <f>CHOOSE( CONTROL!$C$33, 5.3958, 5.3942) * CHOOSE( CONTROL!$C$16, $D$11, 100%, $F$11)</f>
        <v>5.3958000000000004</v>
      </c>
      <c r="H82" s="4">
        <f>CHOOSE( CONTROL!$C$33, 6.3326, 6.3309) * CHOOSE(CONTROL!$C$16, $D$11, 100%, $F$11)</f>
        <v>6.3326000000000002</v>
      </c>
      <c r="I82" s="8">
        <f>CHOOSE( CONTROL!$C$33, 5.3868, 5.3852) * CHOOSE(CONTROL!$C$16, $D$11, 100%, $F$11)</f>
        <v>5.3868</v>
      </c>
      <c r="J82" s="4">
        <f>CHOOSE( CONTROL!$C$33, 5.2595, 5.2579) * CHOOSE(CONTROL!$C$16, $D$11, 100%, $F$11)</f>
        <v>5.2595000000000001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1.2509999999999999</v>
      </c>
      <c r="Q82" s="9">
        <v>23.856000000000002</v>
      </c>
      <c r="R82" s="9"/>
      <c r="S82" s="11"/>
    </row>
    <row r="83" spans="1:19" ht="15" customHeight="1">
      <c r="A83" s="13">
        <v>43647</v>
      </c>
      <c r="B83" s="8">
        <f>CHOOSE( CONTROL!$C$33, 5.6636, 5.662) * CHOOSE(CONTROL!$C$16, $D$11, 100%, $F$11)</f>
        <v>5.6635999999999997</v>
      </c>
      <c r="C83" s="8">
        <f>CHOOSE( CONTROL!$C$33, 5.6716, 5.6699) * CHOOSE(CONTROL!$C$16, $D$11, 100%, $F$11)</f>
        <v>5.6715999999999998</v>
      </c>
      <c r="D83" s="8">
        <f>CHOOSE( CONTROL!$C$33, 5.6904, 5.6887) * CHOOSE( CONTROL!$C$16, $D$11, 100%, $F$11)</f>
        <v>5.6904000000000003</v>
      </c>
      <c r="E83" s="12">
        <f>CHOOSE( CONTROL!$C$33, 5.6824, 5.6807) * CHOOSE( CONTROL!$C$16, $D$11, 100%, $F$11)</f>
        <v>5.6824000000000003</v>
      </c>
      <c r="F83" s="4">
        <f>CHOOSE( CONTROL!$C$33, 6.3912, 6.3895) * CHOOSE(CONTROL!$C$16, $D$11, 100%, $F$11)</f>
        <v>6.3912000000000004</v>
      </c>
      <c r="G83" s="8">
        <f>CHOOSE( CONTROL!$C$33, 5.6264, 5.6248) * CHOOSE( CONTROL!$C$16, $D$11, 100%, $F$11)</f>
        <v>5.6264000000000003</v>
      </c>
      <c r="H83" s="4">
        <f>CHOOSE( CONTROL!$C$33, 6.563, 6.5613) * CHOOSE(CONTROL!$C$16, $D$11, 100%, $F$11)</f>
        <v>6.5629999999999997</v>
      </c>
      <c r="I83" s="8">
        <f>CHOOSE( CONTROL!$C$33, 5.614, 5.6124) * CHOOSE(CONTROL!$C$16, $D$11, 100%, $F$11)</f>
        <v>5.6139999999999999</v>
      </c>
      <c r="J83" s="4">
        <f>CHOOSE( CONTROL!$C$33, 5.4857, 5.4841) * CHOOSE(CONTROL!$C$16, $D$11, 100%, $F$11)</f>
        <v>5.4856999999999996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1.2927</v>
      </c>
      <c r="Q83" s="9">
        <v>24.651199999999999</v>
      </c>
      <c r="R83" s="9"/>
      <c r="S83" s="11"/>
    </row>
    <row r="84" spans="1:19" ht="15" customHeight="1">
      <c r="A84" s="13">
        <v>43678</v>
      </c>
      <c r="B84" s="8">
        <f>CHOOSE( CONTROL!$C$33, 5.2274, 5.2258) * CHOOSE(CONTROL!$C$16, $D$11, 100%, $F$11)</f>
        <v>5.2274000000000003</v>
      </c>
      <c r="C84" s="8">
        <f>CHOOSE( CONTROL!$C$33, 5.2354, 5.2337) * CHOOSE(CONTROL!$C$16, $D$11, 100%, $F$11)</f>
        <v>5.2354000000000003</v>
      </c>
      <c r="D84" s="8">
        <f>CHOOSE( CONTROL!$C$33, 5.2543, 5.2526) * CHOOSE( CONTROL!$C$16, $D$11, 100%, $F$11)</f>
        <v>5.2542999999999997</v>
      </c>
      <c r="E84" s="12">
        <f>CHOOSE( CONTROL!$C$33, 5.2462, 5.2445) * CHOOSE( CONTROL!$C$16, $D$11, 100%, $F$11)</f>
        <v>5.2462</v>
      </c>
      <c r="F84" s="4">
        <f>CHOOSE( CONTROL!$C$33, 5.955, 5.9533) * CHOOSE(CONTROL!$C$16, $D$11, 100%, $F$11)</f>
        <v>5.9550000000000001</v>
      </c>
      <c r="G84" s="8">
        <f>CHOOSE( CONTROL!$C$33, 5.1954, 5.1937) * CHOOSE( CONTROL!$C$16, $D$11, 100%, $F$11)</f>
        <v>5.1954000000000002</v>
      </c>
      <c r="H84" s="4">
        <f>CHOOSE( CONTROL!$C$33, 6.1319, 6.1302) * CHOOSE(CONTROL!$C$16, $D$11, 100%, $F$11)</f>
        <v>6.1318999999999999</v>
      </c>
      <c r="I84" s="8">
        <f>CHOOSE( CONTROL!$C$33, 5.1907, 5.1891) * CHOOSE(CONTROL!$C$16, $D$11, 100%, $F$11)</f>
        <v>5.1906999999999996</v>
      </c>
      <c r="J84" s="4">
        <f>CHOOSE( CONTROL!$C$33, 5.0624, 5.0608) * CHOOSE(CONTROL!$C$16, $D$11, 100%, $F$11)</f>
        <v>5.0624000000000002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1.2927</v>
      </c>
      <c r="Q84" s="9">
        <v>24.651199999999999</v>
      </c>
      <c r="R84" s="9"/>
      <c r="S84" s="11"/>
    </row>
    <row r="85" spans="1:19" ht="15" customHeight="1">
      <c r="A85" s="13">
        <v>43709</v>
      </c>
      <c r="B85" s="8">
        <f>CHOOSE( CONTROL!$C$33, 5.1182, 5.1165) * CHOOSE(CONTROL!$C$16, $D$11, 100%, $F$11)</f>
        <v>5.1181999999999999</v>
      </c>
      <c r="C85" s="8">
        <f>CHOOSE( CONTROL!$C$33, 5.1262, 5.1245) * CHOOSE(CONTROL!$C$16, $D$11, 100%, $F$11)</f>
        <v>5.1261999999999999</v>
      </c>
      <c r="D85" s="8">
        <f>CHOOSE( CONTROL!$C$33, 5.1449, 5.1433) * CHOOSE( CONTROL!$C$16, $D$11, 100%, $F$11)</f>
        <v>5.1448999999999998</v>
      </c>
      <c r="E85" s="12">
        <f>CHOOSE( CONTROL!$C$33, 5.1369, 5.1353) * CHOOSE( CONTROL!$C$16, $D$11, 100%, $F$11)</f>
        <v>5.1368999999999998</v>
      </c>
      <c r="F85" s="4">
        <f>CHOOSE( CONTROL!$C$33, 5.8457, 5.8441) * CHOOSE(CONTROL!$C$16, $D$11, 100%, $F$11)</f>
        <v>5.8456999999999999</v>
      </c>
      <c r="G85" s="8">
        <f>CHOOSE( CONTROL!$C$33, 5.0873, 5.0857) * CHOOSE( CONTROL!$C$16, $D$11, 100%, $F$11)</f>
        <v>5.0872999999999999</v>
      </c>
      <c r="H85" s="4">
        <f>CHOOSE( CONTROL!$C$33, 6.0239, 6.0223) * CHOOSE(CONTROL!$C$16, $D$11, 100%, $F$11)</f>
        <v>6.0239000000000003</v>
      </c>
      <c r="I85" s="8">
        <f>CHOOSE( CONTROL!$C$33, 5.0843, 5.0827) * CHOOSE(CONTROL!$C$16, $D$11, 100%, $F$11)</f>
        <v>5.0842999999999998</v>
      </c>
      <c r="J85" s="4">
        <f>CHOOSE( CONTROL!$C$33, 4.9564, 4.9548) * CHOOSE(CONTROL!$C$16, $D$11, 100%, $F$11)</f>
        <v>4.9564000000000004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1.2509999999999999</v>
      </c>
      <c r="Q85" s="9">
        <v>23.856000000000002</v>
      </c>
      <c r="R85" s="9"/>
      <c r="S85" s="11"/>
    </row>
    <row r="86" spans="1:19" ht="15" customHeight="1">
      <c r="A86" s="13">
        <v>43739</v>
      </c>
      <c r="B86" s="8">
        <f>CHOOSE( CONTROL!$C$33, 5.3427, 5.3416) * CHOOSE(CONTROL!$C$16, $D$11, 100%, $F$11)</f>
        <v>5.3426999999999998</v>
      </c>
      <c r="C86" s="8">
        <f>CHOOSE( CONTROL!$C$33, 5.348, 5.3469) * CHOOSE(CONTROL!$C$16, $D$11, 100%, $F$11)</f>
        <v>5.3479999999999999</v>
      </c>
      <c r="D86" s="8">
        <f>CHOOSE( CONTROL!$C$33, 5.3724, 5.3714) * CHOOSE( CONTROL!$C$16, $D$11, 100%, $F$11)</f>
        <v>5.3723999999999998</v>
      </c>
      <c r="E86" s="12">
        <f>CHOOSE( CONTROL!$C$33, 5.3638, 5.3627) * CHOOSE( CONTROL!$C$16, $D$11, 100%, $F$11)</f>
        <v>5.3638000000000003</v>
      </c>
      <c r="F86" s="4">
        <f>CHOOSE( CONTROL!$C$33, 6.072, 6.0709) * CHOOSE(CONTROL!$C$16, $D$11, 100%, $F$11)</f>
        <v>6.0720000000000001</v>
      </c>
      <c r="G86" s="8">
        <f>CHOOSE( CONTROL!$C$33, 5.3111, 5.31) * CHOOSE( CONTROL!$C$16, $D$11, 100%, $F$11)</f>
        <v>5.3110999999999997</v>
      </c>
      <c r="H86" s="4">
        <f>CHOOSE( CONTROL!$C$33, 6.2475, 6.2464) * CHOOSE(CONTROL!$C$16, $D$11, 100%, $F$11)</f>
        <v>6.2474999999999996</v>
      </c>
      <c r="I86" s="8">
        <f>CHOOSE( CONTROL!$C$33, 5.3049, 5.3038) * CHOOSE(CONTROL!$C$16, $D$11, 100%, $F$11)</f>
        <v>5.3048999999999999</v>
      </c>
      <c r="J86" s="4">
        <f>CHOOSE( CONTROL!$C$33, 5.1759, 5.1749) * CHOOSE(CONTROL!$C$16, $D$11, 100%, $F$11)</f>
        <v>5.1759000000000004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1.2927</v>
      </c>
      <c r="Q86" s="9">
        <v>24.651199999999999</v>
      </c>
      <c r="R86" s="9"/>
      <c r="S86" s="11"/>
    </row>
    <row r="87" spans="1:19" ht="15" customHeight="1">
      <c r="A87" s="13">
        <v>43770</v>
      </c>
      <c r="B87" s="8">
        <f>CHOOSE( CONTROL!$C$33, 5.7609, 5.7598) * CHOOSE(CONTROL!$C$16, $D$11, 100%, $F$11)</f>
        <v>5.7609000000000004</v>
      </c>
      <c r="C87" s="8">
        <f>CHOOSE( CONTROL!$C$33, 5.766, 5.7649) * CHOOSE(CONTROL!$C$16, $D$11, 100%, $F$11)</f>
        <v>5.766</v>
      </c>
      <c r="D87" s="8">
        <f>CHOOSE( CONTROL!$C$33, 5.7564, 5.7553) * CHOOSE( CONTROL!$C$16, $D$11, 100%, $F$11)</f>
        <v>5.7564000000000002</v>
      </c>
      <c r="E87" s="12">
        <f>CHOOSE( CONTROL!$C$33, 5.7594, 5.7583) * CHOOSE( CONTROL!$C$16, $D$11, 100%, $F$11)</f>
        <v>5.7594000000000003</v>
      </c>
      <c r="F87" s="4">
        <f>CHOOSE( CONTROL!$C$33, 6.421, 6.42) * CHOOSE(CONTROL!$C$16, $D$11, 100%, $F$11)</f>
        <v>6.4210000000000003</v>
      </c>
      <c r="G87" s="8">
        <f>CHOOSE( CONTROL!$C$33, 5.7114, 5.7103) * CHOOSE( CONTROL!$C$16, $D$11, 100%, $F$11)</f>
        <v>5.7114000000000003</v>
      </c>
      <c r="H87" s="4">
        <f>CHOOSE( CONTROL!$C$33, 6.5925, 6.5914) * CHOOSE(CONTROL!$C$16, $D$11, 100%, $F$11)</f>
        <v>6.5925000000000002</v>
      </c>
      <c r="I87" s="8">
        <f>CHOOSE( CONTROL!$C$33, 5.7707, 5.7696) * CHOOSE(CONTROL!$C$16, $D$11, 100%, $F$11)</f>
        <v>5.7706999999999997</v>
      </c>
      <c r="J87" s="4">
        <f>CHOOSE( CONTROL!$C$33, 5.5822, 5.5812) * CHOOSE(CONTROL!$C$16, $D$11, 100%, $F$11)</f>
        <v>5.5822000000000003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23.856000000000002</v>
      </c>
      <c r="R87" s="9"/>
      <c r="S87" s="11"/>
    </row>
    <row r="88" spans="1:19" ht="15.75">
      <c r="A88" s="13">
        <v>43800</v>
      </c>
      <c r="B88" s="8">
        <f>CHOOSE( CONTROL!$C$33, 5.7505, 5.7494) * CHOOSE(CONTROL!$C$16, $D$11, 100%, $F$11)</f>
        <v>5.7504999999999997</v>
      </c>
      <c r="C88" s="8">
        <f>CHOOSE( CONTROL!$C$33, 5.7555, 5.7544) * CHOOSE(CONTROL!$C$16, $D$11, 100%, $F$11)</f>
        <v>5.7554999999999996</v>
      </c>
      <c r="D88" s="8">
        <f>CHOOSE( CONTROL!$C$33, 5.7474, 5.7463) * CHOOSE( CONTROL!$C$16, $D$11, 100%, $F$11)</f>
        <v>5.7473999999999998</v>
      </c>
      <c r="E88" s="12">
        <f>CHOOSE( CONTROL!$C$33, 5.7498, 5.7487) * CHOOSE( CONTROL!$C$16, $D$11, 100%, $F$11)</f>
        <v>5.7497999999999996</v>
      </c>
      <c r="F88" s="4">
        <f>CHOOSE( CONTROL!$C$33, 6.4106, 6.4095) * CHOOSE(CONTROL!$C$16, $D$11, 100%, $F$11)</f>
        <v>6.4105999999999996</v>
      </c>
      <c r="G88" s="8">
        <f>CHOOSE( CONTROL!$C$33, 5.702, 5.701) * CHOOSE( CONTROL!$C$16, $D$11, 100%, $F$11)</f>
        <v>5.702</v>
      </c>
      <c r="H88" s="4">
        <f>CHOOSE( CONTROL!$C$33, 6.5822, 6.5811) * CHOOSE(CONTROL!$C$16, $D$11, 100%, $F$11)</f>
        <v>6.5822000000000003</v>
      </c>
      <c r="I88" s="8">
        <f>CHOOSE( CONTROL!$C$33, 5.765, 5.7639) * CHOOSE(CONTROL!$C$16, $D$11, 100%, $F$11)</f>
        <v>5.7649999999999997</v>
      </c>
      <c r="J88" s="4">
        <f>CHOOSE( CONTROL!$C$33, 5.5721, 5.571) * CHOOSE(CONTROL!$C$16, $D$11, 100%, $F$11)</f>
        <v>5.5720999999999998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24.651199999999999</v>
      </c>
      <c r="R88" s="9"/>
      <c r="S88" s="11"/>
    </row>
    <row r="89" spans="1:19" ht="15.75">
      <c r="A89" s="13">
        <v>43831</v>
      </c>
      <c r="B89" s="8">
        <f>CHOOSE( CONTROL!$C$33, 5.9444, 5.9434) * CHOOSE(CONTROL!$C$16, $D$11, 100%, $F$11)</f>
        <v>5.9443999999999999</v>
      </c>
      <c r="C89" s="8">
        <f>CHOOSE( CONTROL!$C$33, 5.9495, 5.9484) * CHOOSE(CONTROL!$C$16, $D$11, 100%, $F$11)</f>
        <v>5.9494999999999996</v>
      </c>
      <c r="D89" s="8">
        <f>CHOOSE( CONTROL!$C$33, 5.9522, 5.9511) * CHOOSE( CONTROL!$C$16, $D$11, 100%, $F$11)</f>
        <v>5.9522000000000004</v>
      </c>
      <c r="E89" s="12">
        <f>CHOOSE( CONTROL!$C$33, 5.9507, 5.9496) * CHOOSE( CONTROL!$C$16, $D$11, 100%, $F$11)</f>
        <v>5.9507000000000003</v>
      </c>
      <c r="F89" s="4">
        <f>CHOOSE( CONTROL!$C$33, 6.6046, 6.6035) * CHOOSE(CONTROL!$C$16, $D$11, 100%, $F$11)</f>
        <v>6.6045999999999996</v>
      </c>
      <c r="G89" s="8">
        <f>CHOOSE( CONTROL!$C$33, 5.8966, 5.8955) * CHOOSE( CONTROL!$C$16, $D$11, 100%, $F$11)</f>
        <v>5.8966000000000003</v>
      </c>
      <c r="H89" s="4">
        <f>CHOOSE( CONTROL!$C$33, 6.7739, 6.7728) * CHOOSE(CONTROL!$C$16, $D$11, 100%, $F$11)</f>
        <v>6.7739000000000003</v>
      </c>
      <c r="I89" s="8">
        <f>CHOOSE( CONTROL!$C$33, 5.9248, 5.9238) * CHOOSE(CONTROL!$C$16, $D$11, 100%, $F$11)</f>
        <v>5.9248000000000003</v>
      </c>
      <c r="J89" s="4">
        <f>CHOOSE( CONTROL!$C$33, 5.7603, 5.7593) * CHOOSE(CONTROL!$C$16, $D$11, 100%, $F$11)</f>
        <v>5.7603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22.150099999999998</v>
      </c>
      <c r="R89" s="9"/>
      <c r="S89" s="11"/>
    </row>
    <row r="90" spans="1:19" ht="15.75">
      <c r="A90" s="13">
        <v>43862</v>
      </c>
      <c r="B90" s="8">
        <f>CHOOSE( CONTROL!$C$33, 5.5608, 5.5597) * CHOOSE(CONTROL!$C$16, $D$11, 100%, $F$11)</f>
        <v>5.5608000000000004</v>
      </c>
      <c r="C90" s="8">
        <f>CHOOSE( CONTROL!$C$33, 5.5659, 5.5648) * CHOOSE(CONTROL!$C$16, $D$11, 100%, $F$11)</f>
        <v>5.5659000000000001</v>
      </c>
      <c r="D90" s="8">
        <f>CHOOSE( CONTROL!$C$33, 5.5684, 5.5673) * CHOOSE( CONTROL!$C$16, $D$11, 100%, $F$11)</f>
        <v>5.5683999999999996</v>
      </c>
      <c r="E90" s="12">
        <f>CHOOSE( CONTROL!$C$33, 5.5669, 5.5658) * CHOOSE( CONTROL!$C$16, $D$11, 100%, $F$11)</f>
        <v>5.5669000000000004</v>
      </c>
      <c r="F90" s="4">
        <f>CHOOSE( CONTROL!$C$33, 6.2209, 6.2198) * CHOOSE(CONTROL!$C$16, $D$11, 100%, $F$11)</f>
        <v>6.2209000000000003</v>
      </c>
      <c r="G90" s="8">
        <f>CHOOSE( CONTROL!$C$33, 5.5174, 5.5163) * CHOOSE( CONTROL!$C$16, $D$11, 100%, $F$11)</f>
        <v>5.5174000000000003</v>
      </c>
      <c r="H90" s="4">
        <f>CHOOSE( CONTROL!$C$33, 6.3947, 6.3936) * CHOOSE(CONTROL!$C$16, $D$11, 100%, $F$11)</f>
        <v>6.3947000000000003</v>
      </c>
      <c r="I90" s="8">
        <f>CHOOSE( CONTROL!$C$33, 5.552, 5.551) * CHOOSE(CONTROL!$C$16, $D$11, 100%, $F$11)</f>
        <v>5.5519999999999996</v>
      </c>
      <c r="J90" s="4">
        <f>CHOOSE( CONTROL!$C$33, 5.388, 5.3869) * CHOOSE(CONTROL!$C$16, $D$11, 100%, $F$11)</f>
        <v>5.3879999999999999</v>
      </c>
      <c r="K90" s="4"/>
      <c r="L90" s="9">
        <v>27.415299999999998</v>
      </c>
      <c r="M90" s="9">
        <v>11.285299999999999</v>
      </c>
      <c r="N90" s="9">
        <v>4.6254999999999997</v>
      </c>
      <c r="O90" s="9">
        <v>0.34989999999999999</v>
      </c>
      <c r="P90" s="9">
        <v>1.2093</v>
      </c>
      <c r="Q90" s="9">
        <v>20.7211</v>
      </c>
      <c r="R90" s="9"/>
      <c r="S90" s="11"/>
    </row>
    <row r="91" spans="1:19" ht="15.75">
      <c r="A91" s="13">
        <v>43891</v>
      </c>
      <c r="B91" s="8">
        <f>CHOOSE( CONTROL!$C$33, 5.4426, 5.4416) * CHOOSE(CONTROL!$C$16, $D$11, 100%, $F$11)</f>
        <v>5.4425999999999997</v>
      </c>
      <c r="C91" s="8">
        <f>CHOOSE( CONTROL!$C$33, 5.4477, 5.4466) * CHOOSE(CONTROL!$C$16, $D$11, 100%, $F$11)</f>
        <v>5.4477000000000002</v>
      </c>
      <c r="D91" s="8">
        <f>CHOOSE( CONTROL!$C$33, 5.4496, 5.4485) * CHOOSE( CONTROL!$C$16, $D$11, 100%, $F$11)</f>
        <v>5.4496000000000002</v>
      </c>
      <c r="E91" s="12">
        <f>CHOOSE( CONTROL!$C$33, 5.4484, 5.4473) * CHOOSE( CONTROL!$C$16, $D$11, 100%, $F$11)</f>
        <v>5.4484000000000004</v>
      </c>
      <c r="F91" s="4">
        <f>CHOOSE( CONTROL!$C$33, 6.1028, 6.1017) * CHOOSE(CONTROL!$C$16, $D$11, 100%, $F$11)</f>
        <v>6.1028000000000002</v>
      </c>
      <c r="G91" s="8">
        <f>CHOOSE( CONTROL!$C$33, 5.4001, 5.399) * CHOOSE( CONTROL!$C$16, $D$11, 100%, $F$11)</f>
        <v>5.4001000000000001</v>
      </c>
      <c r="H91" s="4">
        <f>CHOOSE( CONTROL!$C$33, 6.2779, 6.2769) * CHOOSE(CONTROL!$C$16, $D$11, 100%, $F$11)</f>
        <v>6.2778999999999998</v>
      </c>
      <c r="I91" s="8">
        <f>CHOOSE( CONTROL!$C$33, 5.4352, 5.4341) * CHOOSE(CONTROL!$C$16, $D$11, 100%, $F$11)</f>
        <v>5.4352</v>
      </c>
      <c r="J91" s="4">
        <f>CHOOSE( CONTROL!$C$33, 5.2733, 5.2723) * CHOOSE(CONTROL!$C$16, $D$11, 100%, $F$11)</f>
        <v>5.2732999999999999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22.150099999999998</v>
      </c>
      <c r="R91" s="9"/>
      <c r="S91" s="11"/>
    </row>
    <row r="92" spans="1:19" ht="15.75">
      <c r="A92" s="13">
        <v>43922</v>
      </c>
      <c r="B92" s="8">
        <f>CHOOSE( CONTROL!$C$33, 5.526, 5.5249) * CHOOSE(CONTROL!$C$16, $D$11, 100%, $F$11)</f>
        <v>5.5259999999999998</v>
      </c>
      <c r="C92" s="8">
        <f>CHOOSE( CONTROL!$C$33, 5.5305, 5.5294) * CHOOSE(CONTROL!$C$16, $D$11, 100%, $F$11)</f>
        <v>5.5305</v>
      </c>
      <c r="D92" s="8">
        <f>CHOOSE( CONTROL!$C$33, 5.5548, 5.5537) * CHOOSE( CONTROL!$C$16, $D$11, 100%, $F$11)</f>
        <v>5.5548000000000002</v>
      </c>
      <c r="E92" s="12">
        <f>CHOOSE( CONTROL!$C$33, 5.5463, 5.5452) * CHOOSE( CONTROL!$C$16, $D$11, 100%, $F$11)</f>
        <v>5.5462999999999996</v>
      </c>
      <c r="F92" s="4">
        <f>CHOOSE( CONTROL!$C$33, 6.2549, 6.2538) * CHOOSE(CONTROL!$C$16, $D$11, 100%, $F$11)</f>
        <v>6.2549000000000001</v>
      </c>
      <c r="G92" s="8">
        <f>CHOOSE( CONTROL!$C$33, 5.4914, 5.4903) * CHOOSE( CONTROL!$C$16, $D$11, 100%, $F$11)</f>
        <v>5.4913999999999996</v>
      </c>
      <c r="H92" s="4">
        <f>CHOOSE( CONTROL!$C$33, 6.4283, 6.4272) * CHOOSE(CONTROL!$C$16, $D$11, 100%, $F$11)</f>
        <v>6.4283000000000001</v>
      </c>
      <c r="I92" s="8">
        <f>CHOOSE( CONTROL!$C$33, 5.4806, 5.4795) * CHOOSE(CONTROL!$C$16, $D$11, 100%, $F$11)</f>
        <v>5.4805999999999999</v>
      </c>
      <c r="J92" s="4">
        <f>CHOOSE( CONTROL!$C$33, 5.3535, 5.3524) * CHOOSE(CONTROL!$C$16, $D$11, 100%, $F$11)</f>
        <v>5.3535000000000004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1.2509999999999999</v>
      </c>
      <c r="Q92" s="9">
        <v>21.435600000000001</v>
      </c>
      <c r="R92" s="9"/>
      <c r="S92" s="11"/>
    </row>
    <row r="93" spans="1:19" ht="15.75">
      <c r="A93" s="13">
        <v>43952</v>
      </c>
      <c r="B93" s="8">
        <f>CHOOSE( CONTROL!$C$33, 5.6749, 5.6732) * CHOOSE(CONTROL!$C$16, $D$11, 100%, $F$11)</f>
        <v>5.6749000000000001</v>
      </c>
      <c r="C93" s="8">
        <f>CHOOSE( CONTROL!$C$33, 5.6828, 5.6812) * CHOOSE(CONTROL!$C$16, $D$11, 100%, $F$11)</f>
        <v>5.6828000000000003</v>
      </c>
      <c r="D93" s="8">
        <f>CHOOSE( CONTROL!$C$33, 5.7011, 5.6995) * CHOOSE( CONTROL!$C$16, $D$11, 100%, $F$11)</f>
        <v>5.7011000000000003</v>
      </c>
      <c r="E93" s="12">
        <f>CHOOSE( CONTROL!$C$33, 5.6933, 5.6916) * CHOOSE( CONTROL!$C$16, $D$11, 100%, $F$11)</f>
        <v>5.6932999999999998</v>
      </c>
      <c r="F93" s="4">
        <f>CHOOSE( CONTROL!$C$33, 6.4024, 6.4008) * CHOOSE(CONTROL!$C$16, $D$11, 100%, $F$11)</f>
        <v>6.4024000000000001</v>
      </c>
      <c r="G93" s="8">
        <f>CHOOSE( CONTROL!$C$33, 5.6371, 5.6355) * CHOOSE( CONTROL!$C$16, $D$11, 100%, $F$11)</f>
        <v>5.6371000000000002</v>
      </c>
      <c r="H93" s="4">
        <f>CHOOSE( CONTROL!$C$33, 6.5741, 6.5724) * CHOOSE(CONTROL!$C$16, $D$11, 100%, $F$11)</f>
        <v>6.5740999999999996</v>
      </c>
      <c r="I93" s="8">
        <f>CHOOSE( CONTROL!$C$33, 5.6232, 5.6216) * CHOOSE(CONTROL!$C$16, $D$11, 100%, $F$11)</f>
        <v>5.6231999999999998</v>
      </c>
      <c r="J93" s="4">
        <f>CHOOSE( CONTROL!$C$33, 5.4966, 5.495) * CHOOSE(CONTROL!$C$16, $D$11, 100%, $F$11)</f>
        <v>5.4965999999999999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1.2927</v>
      </c>
      <c r="Q93" s="9">
        <v>33.225200000000001</v>
      </c>
      <c r="R93" s="9"/>
      <c r="S93" s="11"/>
    </row>
    <row r="94" spans="1:19" ht="15.75">
      <c r="A94" s="13">
        <v>43983</v>
      </c>
      <c r="B94" s="8">
        <f>CHOOSE( CONTROL!$C$33, 5.5838, 5.5822) * CHOOSE(CONTROL!$C$16, $D$11, 100%, $F$11)</f>
        <v>5.5838000000000001</v>
      </c>
      <c r="C94" s="8">
        <f>CHOOSE( CONTROL!$C$33, 5.5918, 5.5901) * CHOOSE(CONTROL!$C$16, $D$11, 100%, $F$11)</f>
        <v>5.5918000000000001</v>
      </c>
      <c r="D94" s="8">
        <f>CHOOSE( CONTROL!$C$33, 5.6103, 5.6087) * CHOOSE( CONTROL!$C$16, $D$11, 100%, $F$11)</f>
        <v>5.6102999999999996</v>
      </c>
      <c r="E94" s="12">
        <f>CHOOSE( CONTROL!$C$33, 5.6024, 5.6008) * CHOOSE( CONTROL!$C$16, $D$11, 100%, $F$11)</f>
        <v>5.6024000000000003</v>
      </c>
      <c r="F94" s="4">
        <f>CHOOSE( CONTROL!$C$33, 6.3114, 6.3097) * CHOOSE(CONTROL!$C$16, $D$11, 100%, $F$11)</f>
        <v>6.3113999999999999</v>
      </c>
      <c r="G94" s="8">
        <f>CHOOSE( CONTROL!$C$33, 5.5473, 5.5457) * CHOOSE( CONTROL!$C$16, $D$11, 100%, $F$11)</f>
        <v>5.5472999999999999</v>
      </c>
      <c r="H94" s="4">
        <f>CHOOSE( CONTROL!$C$33, 6.4841, 6.4825) * CHOOSE(CONTROL!$C$16, $D$11, 100%, $F$11)</f>
        <v>6.4840999999999998</v>
      </c>
      <c r="I94" s="8">
        <f>CHOOSE( CONTROL!$C$33, 5.5357, 5.5341) * CHOOSE(CONTROL!$C$16, $D$11, 100%, $F$11)</f>
        <v>5.5357000000000003</v>
      </c>
      <c r="J94" s="4">
        <f>CHOOSE( CONTROL!$C$33, 5.4083, 5.4067) * CHOOSE(CONTROL!$C$16, $D$11, 100%, $F$11)</f>
        <v>5.4082999999999997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1.2509999999999999</v>
      </c>
      <c r="Q94" s="9">
        <v>32.153399999999998</v>
      </c>
      <c r="R94" s="9"/>
      <c r="S94" s="11"/>
    </row>
    <row r="95" spans="1:19" ht="15.75">
      <c r="A95" s="13">
        <v>44013</v>
      </c>
      <c r="B95" s="8">
        <f>CHOOSE( CONTROL!$C$33, 5.8236, 5.8219) * CHOOSE(CONTROL!$C$16, $D$11, 100%, $F$11)</f>
        <v>5.8235999999999999</v>
      </c>
      <c r="C95" s="8">
        <f>CHOOSE( CONTROL!$C$33, 5.8315, 5.8299) * CHOOSE(CONTROL!$C$16, $D$11, 100%, $F$11)</f>
        <v>5.8315000000000001</v>
      </c>
      <c r="D95" s="8">
        <f>CHOOSE( CONTROL!$C$33, 5.8503, 5.8487) * CHOOSE( CONTROL!$C$16, $D$11, 100%, $F$11)</f>
        <v>5.8502999999999998</v>
      </c>
      <c r="E95" s="12">
        <f>CHOOSE( CONTROL!$C$33, 5.8423, 5.8407) * CHOOSE( CONTROL!$C$16, $D$11, 100%, $F$11)</f>
        <v>5.8422999999999998</v>
      </c>
      <c r="F95" s="4">
        <f>CHOOSE( CONTROL!$C$33, 6.5511, 6.5494) * CHOOSE(CONTROL!$C$16, $D$11, 100%, $F$11)</f>
        <v>6.5510999999999999</v>
      </c>
      <c r="G95" s="8">
        <f>CHOOSE( CONTROL!$C$33, 5.7845, 5.7828) * CHOOSE( CONTROL!$C$16, $D$11, 100%, $F$11)</f>
        <v>5.7845000000000004</v>
      </c>
      <c r="H95" s="4">
        <f>CHOOSE( CONTROL!$C$33, 6.721, 6.7194) * CHOOSE(CONTROL!$C$16, $D$11, 100%, $F$11)</f>
        <v>6.7210000000000001</v>
      </c>
      <c r="I95" s="8">
        <f>CHOOSE( CONTROL!$C$33, 5.7693, 5.7677) * CHOOSE(CONTROL!$C$16, $D$11, 100%, $F$11)</f>
        <v>5.7693000000000003</v>
      </c>
      <c r="J95" s="4">
        <f>CHOOSE( CONTROL!$C$33, 5.6409, 5.6393) * CHOOSE(CONTROL!$C$16, $D$11, 100%, $F$11)</f>
        <v>5.6409000000000002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1.2927</v>
      </c>
      <c r="Q95" s="9">
        <v>33.225200000000001</v>
      </c>
      <c r="R95" s="9"/>
      <c r="S95" s="11"/>
    </row>
    <row r="96" spans="1:19" ht="15.75">
      <c r="A96" s="13">
        <v>44044</v>
      </c>
      <c r="B96" s="8">
        <f>CHOOSE( CONTROL!$C$33, 5.375, 5.3733) * CHOOSE(CONTROL!$C$16, $D$11, 100%, $F$11)</f>
        <v>5.375</v>
      </c>
      <c r="C96" s="8">
        <f>CHOOSE( CONTROL!$C$33, 5.383, 5.3813) * CHOOSE(CONTROL!$C$16, $D$11, 100%, $F$11)</f>
        <v>5.383</v>
      </c>
      <c r="D96" s="8">
        <f>CHOOSE( CONTROL!$C$33, 5.4018, 5.4002) * CHOOSE( CONTROL!$C$16, $D$11, 100%, $F$11)</f>
        <v>5.4017999999999997</v>
      </c>
      <c r="E96" s="12">
        <f>CHOOSE( CONTROL!$C$33, 5.3938, 5.3921) * CHOOSE( CONTROL!$C$16, $D$11, 100%, $F$11)</f>
        <v>5.3937999999999997</v>
      </c>
      <c r="F96" s="4">
        <f>CHOOSE( CONTROL!$C$33, 6.1026, 6.1009) * CHOOSE(CONTROL!$C$16, $D$11, 100%, $F$11)</f>
        <v>6.1025999999999998</v>
      </c>
      <c r="G96" s="8">
        <f>CHOOSE( CONTROL!$C$33, 5.3412, 5.3396) * CHOOSE( CONTROL!$C$16, $D$11, 100%, $F$11)</f>
        <v>5.3411999999999997</v>
      </c>
      <c r="H96" s="4">
        <f>CHOOSE( CONTROL!$C$33, 6.2777, 6.2761) * CHOOSE(CONTROL!$C$16, $D$11, 100%, $F$11)</f>
        <v>6.2777000000000003</v>
      </c>
      <c r="I96" s="8">
        <f>CHOOSE( CONTROL!$C$33, 5.334, 5.3324) * CHOOSE(CONTROL!$C$16, $D$11, 100%, $F$11)</f>
        <v>5.3339999999999996</v>
      </c>
      <c r="J96" s="4">
        <f>CHOOSE( CONTROL!$C$33, 5.2056, 5.204) * CHOOSE(CONTROL!$C$16, $D$11, 100%, $F$11)</f>
        <v>5.2055999999999996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1.2927</v>
      </c>
      <c r="Q96" s="9">
        <v>33.225200000000001</v>
      </c>
      <c r="R96" s="9"/>
      <c r="S96" s="11"/>
    </row>
    <row r="97" spans="1:19" ht="15.75">
      <c r="A97" s="13">
        <v>44075</v>
      </c>
      <c r="B97" s="8">
        <f>CHOOSE( CONTROL!$C$33, 5.2627, 5.261) * CHOOSE(CONTROL!$C$16, $D$11, 100%, $F$11)</f>
        <v>5.2626999999999997</v>
      </c>
      <c r="C97" s="8">
        <f>CHOOSE( CONTROL!$C$33, 5.2707, 5.269) * CHOOSE(CONTROL!$C$16, $D$11, 100%, $F$11)</f>
        <v>5.2706999999999997</v>
      </c>
      <c r="D97" s="8">
        <f>CHOOSE( CONTROL!$C$33, 5.2894, 5.2878) * CHOOSE( CONTROL!$C$16, $D$11, 100%, $F$11)</f>
        <v>5.2893999999999997</v>
      </c>
      <c r="E97" s="12">
        <f>CHOOSE( CONTROL!$C$33, 5.2814, 5.2798) * CHOOSE( CONTROL!$C$16, $D$11, 100%, $F$11)</f>
        <v>5.2813999999999997</v>
      </c>
      <c r="F97" s="4">
        <f>CHOOSE( CONTROL!$C$33, 5.9902, 5.9886) * CHOOSE(CONTROL!$C$16, $D$11, 100%, $F$11)</f>
        <v>5.9901999999999997</v>
      </c>
      <c r="G97" s="8">
        <f>CHOOSE( CONTROL!$C$33, 5.2301, 5.2285) * CHOOSE( CONTROL!$C$16, $D$11, 100%, $F$11)</f>
        <v>5.2301000000000002</v>
      </c>
      <c r="H97" s="4">
        <f>CHOOSE( CONTROL!$C$33, 6.1667, 6.1651) * CHOOSE(CONTROL!$C$16, $D$11, 100%, $F$11)</f>
        <v>6.1666999999999996</v>
      </c>
      <c r="I97" s="8">
        <f>CHOOSE( CONTROL!$C$33, 5.2246, 5.223) * CHOOSE(CONTROL!$C$16, $D$11, 100%, $F$11)</f>
        <v>5.2245999999999997</v>
      </c>
      <c r="J97" s="4">
        <f>CHOOSE( CONTROL!$C$33, 5.0966, 5.095) * CHOOSE(CONTROL!$C$16, $D$11, 100%, $F$11)</f>
        <v>5.0965999999999996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1.2509999999999999</v>
      </c>
      <c r="Q97" s="9">
        <v>32.153399999999998</v>
      </c>
      <c r="R97" s="9"/>
      <c r="S97" s="11"/>
    </row>
    <row r="98" spans="1:19" ht="15.75">
      <c r="A98" s="13">
        <v>44105</v>
      </c>
      <c r="B98" s="8">
        <f>CHOOSE( CONTROL!$C$33, 5.4936, 5.4925) * CHOOSE(CONTROL!$C$16, $D$11, 100%, $F$11)</f>
        <v>5.4935999999999998</v>
      </c>
      <c r="C98" s="8">
        <f>CHOOSE( CONTROL!$C$33, 5.4989, 5.4978) * CHOOSE(CONTROL!$C$16, $D$11, 100%, $F$11)</f>
        <v>5.4988999999999999</v>
      </c>
      <c r="D98" s="8">
        <f>CHOOSE( CONTROL!$C$33, 5.5233, 5.5223) * CHOOSE( CONTROL!$C$16, $D$11, 100%, $F$11)</f>
        <v>5.5232999999999999</v>
      </c>
      <c r="E98" s="12">
        <f>CHOOSE( CONTROL!$C$33, 5.5147, 5.5136) * CHOOSE( CONTROL!$C$16, $D$11, 100%, $F$11)</f>
        <v>5.5147000000000004</v>
      </c>
      <c r="F98" s="4">
        <f>CHOOSE( CONTROL!$C$33, 6.2229, 6.2218) * CHOOSE(CONTROL!$C$16, $D$11, 100%, $F$11)</f>
        <v>6.2229000000000001</v>
      </c>
      <c r="G98" s="8">
        <f>CHOOSE( CONTROL!$C$33, 5.4602, 5.4591) * CHOOSE( CONTROL!$C$16, $D$11, 100%, $F$11)</f>
        <v>5.4602000000000004</v>
      </c>
      <c r="H98" s="4">
        <f>CHOOSE( CONTROL!$C$33, 6.3966, 6.3956) * CHOOSE(CONTROL!$C$16, $D$11, 100%, $F$11)</f>
        <v>6.3966000000000003</v>
      </c>
      <c r="I98" s="8">
        <f>CHOOSE( CONTROL!$C$33, 5.4514, 5.4503) * CHOOSE(CONTROL!$C$16, $D$11, 100%, $F$11)</f>
        <v>5.4513999999999996</v>
      </c>
      <c r="J98" s="4">
        <f>CHOOSE( CONTROL!$C$33, 5.3224, 5.3213) * CHOOSE(CONTROL!$C$16, $D$11, 100%, $F$11)</f>
        <v>5.3224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1.2927</v>
      </c>
      <c r="Q98" s="9">
        <v>33.225200000000001</v>
      </c>
      <c r="R98" s="9"/>
      <c r="S98" s="11"/>
    </row>
    <row r="99" spans="1:19" ht="15.75">
      <c r="A99" s="13">
        <v>44136</v>
      </c>
      <c r="B99" s="8">
        <f>CHOOSE( CONTROL!$C$33, 5.9237, 5.9226) * CHOOSE(CONTROL!$C$16, $D$11, 100%, $F$11)</f>
        <v>5.9237000000000002</v>
      </c>
      <c r="C99" s="8">
        <f>CHOOSE( CONTROL!$C$33, 5.9287, 5.9277) * CHOOSE(CONTROL!$C$16, $D$11, 100%, $F$11)</f>
        <v>5.9287000000000001</v>
      </c>
      <c r="D99" s="8">
        <f>CHOOSE( CONTROL!$C$33, 5.9191, 5.9181) * CHOOSE( CONTROL!$C$16, $D$11, 100%, $F$11)</f>
        <v>5.9191000000000003</v>
      </c>
      <c r="E99" s="12">
        <f>CHOOSE( CONTROL!$C$33, 5.9221, 5.9211) * CHOOSE( CONTROL!$C$16, $D$11, 100%, $F$11)</f>
        <v>5.9221000000000004</v>
      </c>
      <c r="F99" s="4">
        <f>CHOOSE( CONTROL!$C$33, 6.5838, 6.5827) * CHOOSE(CONTROL!$C$16, $D$11, 100%, $F$11)</f>
        <v>6.5838000000000001</v>
      </c>
      <c r="G99" s="8">
        <f>CHOOSE( CONTROL!$C$33, 5.8722, 5.8711) * CHOOSE( CONTROL!$C$16, $D$11, 100%, $F$11)</f>
        <v>5.8722000000000003</v>
      </c>
      <c r="H99" s="4">
        <f>CHOOSE( CONTROL!$C$33, 6.7533, 6.7523) * CHOOSE(CONTROL!$C$16, $D$11, 100%, $F$11)</f>
        <v>6.7533000000000003</v>
      </c>
      <c r="I99" s="8">
        <f>CHOOSE( CONTROL!$C$33, 5.9287, 5.9277) * CHOOSE(CONTROL!$C$16, $D$11, 100%, $F$11)</f>
        <v>5.9287000000000001</v>
      </c>
      <c r="J99" s="4">
        <f>CHOOSE( CONTROL!$C$33, 5.7402, 5.7391) * CHOOSE(CONTROL!$C$16, $D$11, 100%, $F$11)</f>
        <v>5.7401999999999997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32.153399999999998</v>
      </c>
      <c r="R99" s="9"/>
      <c r="S99" s="11"/>
    </row>
    <row r="100" spans="1:19" ht="15.75">
      <c r="A100" s="13">
        <v>44166</v>
      </c>
      <c r="B100" s="8">
        <f>CHOOSE( CONTROL!$C$33, 5.9129, 5.9118) * CHOOSE(CONTROL!$C$16, $D$11, 100%, $F$11)</f>
        <v>5.9128999999999996</v>
      </c>
      <c r="C100" s="8">
        <f>CHOOSE( CONTROL!$C$33, 5.918, 5.9169) * CHOOSE(CONTROL!$C$16, $D$11, 100%, $F$11)</f>
        <v>5.9180000000000001</v>
      </c>
      <c r="D100" s="8">
        <f>CHOOSE( CONTROL!$C$33, 5.9098, 5.9087) * CHOOSE( CONTROL!$C$16, $D$11, 100%, $F$11)</f>
        <v>5.9097999999999997</v>
      </c>
      <c r="E100" s="12">
        <f>CHOOSE( CONTROL!$C$33, 5.9123, 5.9112) * CHOOSE( CONTROL!$C$16, $D$11, 100%, $F$11)</f>
        <v>5.9123000000000001</v>
      </c>
      <c r="F100" s="4">
        <f>CHOOSE( CONTROL!$C$33, 6.573, 6.572) * CHOOSE(CONTROL!$C$16, $D$11, 100%, $F$11)</f>
        <v>6.5730000000000004</v>
      </c>
      <c r="G100" s="8">
        <f>CHOOSE( CONTROL!$C$33, 5.8626, 5.8615) * CHOOSE( CONTROL!$C$16, $D$11, 100%, $F$11)</f>
        <v>5.8625999999999996</v>
      </c>
      <c r="H100" s="4">
        <f>CHOOSE( CONTROL!$C$33, 6.7427, 6.7416) * CHOOSE(CONTROL!$C$16, $D$11, 100%, $F$11)</f>
        <v>6.7427000000000001</v>
      </c>
      <c r="I100" s="8">
        <f>CHOOSE( CONTROL!$C$33, 5.9227, 5.9217) * CHOOSE(CONTROL!$C$16, $D$11, 100%, $F$11)</f>
        <v>5.9226999999999999</v>
      </c>
      <c r="J100" s="4">
        <f>CHOOSE( CONTROL!$C$33, 5.7297, 5.7287) * CHOOSE(CONTROL!$C$16, $D$11, 100%, $F$11)</f>
        <v>5.7297000000000002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33.225200000000001</v>
      </c>
      <c r="R100" s="9"/>
      <c r="S100" s="11"/>
    </row>
    <row r="101" spans="1:19" ht="15.75">
      <c r="A101" s="13">
        <v>44197</v>
      </c>
      <c r="B101" s="8">
        <f>CHOOSE( CONTROL!$C$33, 6.1622, 6.1611) * CHOOSE(CONTROL!$C$16, $D$11, 100%, $F$11)</f>
        <v>6.1622000000000003</v>
      </c>
      <c r="C101" s="8">
        <f>CHOOSE( CONTROL!$C$33, 6.1673, 6.1662) * CHOOSE(CONTROL!$C$16, $D$11, 100%, $F$11)</f>
        <v>6.1673</v>
      </c>
      <c r="D101" s="8">
        <f>CHOOSE( CONTROL!$C$33, 6.1699, 6.1688) * CHOOSE( CONTROL!$C$16, $D$11, 100%, $F$11)</f>
        <v>6.1699000000000002</v>
      </c>
      <c r="E101" s="12">
        <f>CHOOSE( CONTROL!$C$33, 6.1684, 6.1673) * CHOOSE( CONTROL!$C$16, $D$11, 100%, $F$11)</f>
        <v>6.1684000000000001</v>
      </c>
      <c r="F101" s="4">
        <f>CHOOSE( CONTROL!$C$33, 6.8223, 6.8213) * CHOOSE(CONTROL!$C$16, $D$11, 100%, $F$11)</f>
        <v>6.8223000000000003</v>
      </c>
      <c r="G101" s="8">
        <f>CHOOSE( CONTROL!$C$33, 6.1118, 6.1107) * CHOOSE( CONTROL!$C$16, $D$11, 100%, $F$11)</f>
        <v>6.1117999999999997</v>
      </c>
      <c r="H101" s="4">
        <f>CHOOSE( CONTROL!$C$33, 6.9891, 6.988) * CHOOSE(CONTROL!$C$16, $D$11, 100%, $F$11)</f>
        <v>6.9890999999999996</v>
      </c>
      <c r="I101" s="8">
        <f>CHOOSE( CONTROL!$C$33, 6.1363, 6.1352) * CHOOSE(CONTROL!$C$16, $D$11, 100%, $F$11)</f>
        <v>6.1363000000000003</v>
      </c>
      <c r="J101" s="4">
        <f>CHOOSE( CONTROL!$C$33, 5.9717, 5.9706) * CHOOSE(CONTROL!$C$16, $D$11, 100%, $F$11)</f>
        <v>5.9717000000000002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33.011299999999999</v>
      </c>
      <c r="R101" s="9"/>
      <c r="S101" s="11"/>
    </row>
    <row r="102" spans="1:19" ht="15.75">
      <c r="A102" s="13">
        <v>44228</v>
      </c>
      <c r="B102" s="8">
        <f>CHOOSE( CONTROL!$C$33, 5.7645, 5.7634) * CHOOSE(CONTROL!$C$16, $D$11, 100%, $F$11)</f>
        <v>5.7645</v>
      </c>
      <c r="C102" s="8">
        <f>CHOOSE( CONTROL!$C$33, 5.7696, 5.7685) * CHOOSE(CONTROL!$C$16, $D$11, 100%, $F$11)</f>
        <v>5.7695999999999996</v>
      </c>
      <c r="D102" s="8">
        <f>CHOOSE( CONTROL!$C$33, 5.7721, 5.771) * CHOOSE( CONTROL!$C$16, $D$11, 100%, $F$11)</f>
        <v>5.7721</v>
      </c>
      <c r="E102" s="12">
        <f>CHOOSE( CONTROL!$C$33, 5.7706, 5.7695) * CHOOSE( CONTROL!$C$16, $D$11, 100%, $F$11)</f>
        <v>5.7706</v>
      </c>
      <c r="F102" s="4">
        <f>CHOOSE( CONTROL!$C$33, 6.4246, 6.4235) * CHOOSE(CONTROL!$C$16, $D$11, 100%, $F$11)</f>
        <v>6.4245999999999999</v>
      </c>
      <c r="G102" s="8">
        <f>CHOOSE( CONTROL!$C$33, 5.7187, 5.7176) * CHOOSE( CONTROL!$C$16, $D$11, 100%, $F$11)</f>
        <v>5.7187000000000001</v>
      </c>
      <c r="H102" s="4">
        <f>CHOOSE( CONTROL!$C$33, 6.596, 6.595) * CHOOSE(CONTROL!$C$16, $D$11, 100%, $F$11)</f>
        <v>6.5960000000000001</v>
      </c>
      <c r="I102" s="8">
        <f>CHOOSE( CONTROL!$C$33, 5.7498, 5.7488) * CHOOSE(CONTROL!$C$16, $D$11, 100%, $F$11)</f>
        <v>5.7497999999999996</v>
      </c>
      <c r="J102" s="4">
        <f>CHOOSE( CONTROL!$C$33, 5.5857, 5.5846) * CHOOSE(CONTROL!$C$16, $D$11, 100%, $F$11)</f>
        <v>5.5857000000000001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29.816600000000001</v>
      </c>
      <c r="R102" s="9"/>
      <c r="S102" s="11"/>
    </row>
    <row r="103" spans="1:19" ht="15.75">
      <c r="A103" s="13">
        <v>44256</v>
      </c>
      <c r="B103" s="8">
        <f>CHOOSE( CONTROL!$C$33, 5.642, 5.6409) * CHOOSE(CONTROL!$C$16, $D$11, 100%, $F$11)</f>
        <v>5.6420000000000003</v>
      </c>
      <c r="C103" s="8">
        <f>CHOOSE( CONTROL!$C$33, 5.6471, 5.646) * CHOOSE(CONTROL!$C$16, $D$11, 100%, $F$11)</f>
        <v>5.6471</v>
      </c>
      <c r="D103" s="8">
        <f>CHOOSE( CONTROL!$C$33, 5.6489, 5.6479) * CHOOSE( CONTROL!$C$16, $D$11, 100%, $F$11)</f>
        <v>5.6489000000000003</v>
      </c>
      <c r="E103" s="12">
        <f>CHOOSE( CONTROL!$C$33, 5.6477, 5.6467) * CHOOSE( CONTROL!$C$16, $D$11, 100%, $F$11)</f>
        <v>5.6477000000000004</v>
      </c>
      <c r="F103" s="4">
        <f>CHOOSE( CONTROL!$C$33, 6.3021, 6.301) * CHOOSE(CONTROL!$C$16, $D$11, 100%, $F$11)</f>
        <v>6.3021000000000003</v>
      </c>
      <c r="G103" s="8">
        <f>CHOOSE( CONTROL!$C$33, 5.5971, 5.5961) * CHOOSE( CONTROL!$C$16, $D$11, 100%, $F$11)</f>
        <v>5.5971000000000002</v>
      </c>
      <c r="H103" s="4">
        <f>CHOOSE( CONTROL!$C$33, 6.475, 6.4739) * CHOOSE(CONTROL!$C$16, $D$11, 100%, $F$11)</f>
        <v>6.4749999999999996</v>
      </c>
      <c r="I103" s="8">
        <f>CHOOSE( CONTROL!$C$33, 5.6287, 5.6277) * CHOOSE(CONTROL!$C$16, $D$11, 100%, $F$11)</f>
        <v>5.6287000000000003</v>
      </c>
      <c r="J103" s="4">
        <f>CHOOSE( CONTROL!$C$33, 5.4668, 5.4658) * CHOOSE(CONTROL!$C$16, $D$11, 100%, $F$11)</f>
        <v>5.4668000000000001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33.011299999999999</v>
      </c>
      <c r="R103" s="9"/>
      <c r="S103" s="11"/>
    </row>
    <row r="104" spans="1:19" ht="15.75">
      <c r="A104" s="13">
        <v>44287</v>
      </c>
      <c r="B104" s="8">
        <f>CHOOSE( CONTROL!$C$33, 5.7284, 5.7273) * CHOOSE(CONTROL!$C$16, $D$11, 100%, $F$11)</f>
        <v>5.7283999999999997</v>
      </c>
      <c r="C104" s="8">
        <f>CHOOSE( CONTROL!$C$33, 5.7329, 5.7318) * CHOOSE(CONTROL!$C$16, $D$11, 100%, $F$11)</f>
        <v>5.7328999999999999</v>
      </c>
      <c r="D104" s="8">
        <f>CHOOSE( CONTROL!$C$33, 5.7572, 5.7561) * CHOOSE( CONTROL!$C$16, $D$11, 100%, $F$11)</f>
        <v>5.7572000000000001</v>
      </c>
      <c r="E104" s="12">
        <f>CHOOSE( CONTROL!$C$33, 5.7487, 5.7476) * CHOOSE( CONTROL!$C$16, $D$11, 100%, $F$11)</f>
        <v>5.7487000000000004</v>
      </c>
      <c r="F104" s="4">
        <f>CHOOSE( CONTROL!$C$33, 6.4573, 6.4562) * CHOOSE(CONTROL!$C$16, $D$11, 100%, $F$11)</f>
        <v>6.4573</v>
      </c>
      <c r="G104" s="8">
        <f>CHOOSE( CONTROL!$C$33, 5.6914, 5.6904) * CHOOSE( CONTROL!$C$16, $D$11, 100%, $F$11)</f>
        <v>5.6913999999999998</v>
      </c>
      <c r="H104" s="4">
        <f>CHOOSE( CONTROL!$C$33, 6.6283, 6.6272) * CHOOSE(CONTROL!$C$16, $D$11, 100%, $F$11)</f>
        <v>6.6283000000000003</v>
      </c>
      <c r="I104" s="8">
        <f>CHOOSE( CONTROL!$C$33, 5.6771, 5.6761) * CHOOSE(CONTROL!$C$16, $D$11, 100%, $F$11)</f>
        <v>5.6771000000000003</v>
      </c>
      <c r="J104" s="4">
        <f>CHOOSE( CONTROL!$C$33, 5.5499, 5.5488) * CHOOSE(CONTROL!$C$16, $D$11, 100%, $F$11)</f>
        <v>5.5499000000000001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1.2509999999999999</v>
      </c>
      <c r="Q104" s="9">
        <v>31.946400000000001</v>
      </c>
      <c r="R104" s="9"/>
      <c r="S104" s="11"/>
    </row>
    <row r="105" spans="1:19" ht="15.75">
      <c r="A105" s="13">
        <v>44317</v>
      </c>
      <c r="B105" s="8">
        <f>CHOOSE( CONTROL!$C$33, 5.8826, 5.881) * CHOOSE(CONTROL!$C$16, $D$11, 100%, $F$11)</f>
        <v>5.8826000000000001</v>
      </c>
      <c r="C105" s="8">
        <f>CHOOSE( CONTROL!$C$33, 5.8906, 5.889) * CHOOSE(CONTROL!$C$16, $D$11, 100%, $F$11)</f>
        <v>5.8906000000000001</v>
      </c>
      <c r="D105" s="8">
        <f>CHOOSE( CONTROL!$C$33, 5.9089, 5.9073) * CHOOSE( CONTROL!$C$16, $D$11, 100%, $F$11)</f>
        <v>5.9089</v>
      </c>
      <c r="E105" s="12">
        <f>CHOOSE( CONTROL!$C$33, 5.901, 5.8994) * CHOOSE( CONTROL!$C$16, $D$11, 100%, $F$11)</f>
        <v>5.9009999999999998</v>
      </c>
      <c r="F105" s="4">
        <f>CHOOSE( CONTROL!$C$33, 6.6102, 6.6085) * CHOOSE(CONTROL!$C$16, $D$11, 100%, $F$11)</f>
        <v>6.6101999999999999</v>
      </c>
      <c r="G105" s="8">
        <f>CHOOSE( CONTROL!$C$33, 5.8425, 5.8408) * CHOOSE( CONTROL!$C$16, $D$11, 100%, $F$11)</f>
        <v>5.8425000000000002</v>
      </c>
      <c r="H105" s="4">
        <f>CHOOSE( CONTROL!$C$33, 6.7794, 6.7778) * CHOOSE(CONTROL!$C$16, $D$11, 100%, $F$11)</f>
        <v>6.7793999999999999</v>
      </c>
      <c r="I105" s="8">
        <f>CHOOSE( CONTROL!$C$33, 5.825, 5.8234) * CHOOSE(CONTROL!$C$16, $D$11, 100%, $F$11)</f>
        <v>5.8250000000000002</v>
      </c>
      <c r="J105" s="4">
        <f>CHOOSE( CONTROL!$C$33, 5.6983, 5.6967) * CHOOSE(CONTROL!$C$16, $D$11, 100%, $F$11)</f>
        <v>5.6982999999999997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1.2927</v>
      </c>
      <c r="Q105" s="9">
        <v>33.011299999999999</v>
      </c>
      <c r="R105" s="9"/>
      <c r="S105" s="11"/>
    </row>
    <row r="106" spans="1:19" ht="15.75">
      <c r="A106" s="13">
        <v>44348</v>
      </c>
      <c r="B106" s="8">
        <f>CHOOSE( CONTROL!$C$33, 5.7883, 5.7866) * CHOOSE(CONTROL!$C$16, $D$11, 100%, $F$11)</f>
        <v>5.7882999999999996</v>
      </c>
      <c r="C106" s="8">
        <f>CHOOSE( CONTROL!$C$33, 5.7962, 5.7946) * CHOOSE(CONTROL!$C$16, $D$11, 100%, $F$11)</f>
        <v>5.7961999999999998</v>
      </c>
      <c r="D106" s="8">
        <f>CHOOSE( CONTROL!$C$33, 5.8148, 5.8131) * CHOOSE( CONTROL!$C$16, $D$11, 100%, $F$11)</f>
        <v>5.8148</v>
      </c>
      <c r="E106" s="12">
        <f>CHOOSE( CONTROL!$C$33, 5.8069, 5.8052) * CHOOSE( CONTROL!$C$16, $D$11, 100%, $F$11)</f>
        <v>5.8068999999999997</v>
      </c>
      <c r="F106" s="4">
        <f>CHOOSE( CONTROL!$C$33, 6.5158, 6.5142) * CHOOSE(CONTROL!$C$16, $D$11, 100%, $F$11)</f>
        <v>6.5157999999999996</v>
      </c>
      <c r="G106" s="8">
        <f>CHOOSE( CONTROL!$C$33, 5.7494, 5.7477) * CHOOSE( CONTROL!$C$16, $D$11, 100%, $F$11)</f>
        <v>5.7493999999999996</v>
      </c>
      <c r="H106" s="4">
        <f>CHOOSE( CONTROL!$C$33, 6.6862, 6.6845) * CHOOSE(CONTROL!$C$16, $D$11, 100%, $F$11)</f>
        <v>6.6862000000000004</v>
      </c>
      <c r="I106" s="8">
        <f>CHOOSE( CONTROL!$C$33, 5.7342, 5.7326) * CHOOSE(CONTROL!$C$16, $D$11, 100%, $F$11)</f>
        <v>5.7342000000000004</v>
      </c>
      <c r="J106" s="4">
        <f>CHOOSE( CONTROL!$C$33, 5.6067, 5.6051) * CHOOSE(CONTROL!$C$16, $D$11, 100%, $F$11)</f>
        <v>5.6067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1.2509999999999999</v>
      </c>
      <c r="Q106" s="9">
        <v>31.946400000000001</v>
      </c>
      <c r="R106" s="9"/>
      <c r="S106" s="11"/>
    </row>
    <row r="107" spans="1:19" ht="15.75">
      <c r="A107" s="13">
        <v>44378</v>
      </c>
      <c r="B107" s="8">
        <f>CHOOSE( CONTROL!$C$33, 6.0368, 6.0351) * CHOOSE(CONTROL!$C$16, $D$11, 100%, $F$11)</f>
        <v>6.0368000000000004</v>
      </c>
      <c r="C107" s="8">
        <f>CHOOSE( CONTROL!$C$33, 6.0448, 6.0431) * CHOOSE(CONTROL!$C$16, $D$11, 100%, $F$11)</f>
        <v>6.0448000000000004</v>
      </c>
      <c r="D107" s="8">
        <f>CHOOSE( CONTROL!$C$33, 6.0636, 6.0619) * CHOOSE( CONTROL!$C$16, $D$11, 100%, $F$11)</f>
        <v>6.0636000000000001</v>
      </c>
      <c r="E107" s="12">
        <f>CHOOSE( CONTROL!$C$33, 6.0556, 6.0539) * CHOOSE( CONTROL!$C$16, $D$11, 100%, $F$11)</f>
        <v>6.0556000000000001</v>
      </c>
      <c r="F107" s="4">
        <f>CHOOSE( CONTROL!$C$33, 6.7643, 6.7627) * CHOOSE(CONTROL!$C$16, $D$11, 100%, $F$11)</f>
        <v>6.7643000000000004</v>
      </c>
      <c r="G107" s="8">
        <f>CHOOSE( CONTROL!$C$33, 5.9952, 5.9936) * CHOOSE( CONTROL!$C$16, $D$11, 100%, $F$11)</f>
        <v>5.9951999999999996</v>
      </c>
      <c r="H107" s="4">
        <f>CHOOSE( CONTROL!$C$33, 6.9318, 6.9301) * CHOOSE(CONTROL!$C$16, $D$11, 100%, $F$11)</f>
        <v>6.9318</v>
      </c>
      <c r="I107" s="8">
        <f>CHOOSE( CONTROL!$C$33, 5.9764, 5.9748) * CHOOSE(CONTROL!$C$16, $D$11, 100%, $F$11)</f>
        <v>5.9763999999999999</v>
      </c>
      <c r="J107" s="4">
        <f>CHOOSE( CONTROL!$C$33, 5.8479, 5.8463) * CHOOSE(CONTROL!$C$16, $D$11, 100%, $F$11)</f>
        <v>5.8479000000000001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1.2927</v>
      </c>
      <c r="Q107" s="9">
        <v>33.011299999999999</v>
      </c>
      <c r="R107" s="9"/>
      <c r="S107" s="11"/>
    </row>
    <row r="108" spans="1:19" ht="15.75">
      <c r="A108" s="13">
        <v>44409</v>
      </c>
      <c r="B108" s="8">
        <f>CHOOSE( CONTROL!$C$33, 5.5718, 5.5701) * CHOOSE(CONTROL!$C$16, $D$11, 100%, $F$11)</f>
        <v>5.5717999999999996</v>
      </c>
      <c r="C108" s="8">
        <f>CHOOSE( CONTROL!$C$33, 5.5798, 5.5781) * CHOOSE(CONTROL!$C$16, $D$11, 100%, $F$11)</f>
        <v>5.5797999999999996</v>
      </c>
      <c r="D108" s="8">
        <f>CHOOSE( CONTROL!$C$33, 5.5986, 5.597) * CHOOSE( CONTROL!$C$16, $D$11, 100%, $F$11)</f>
        <v>5.5986000000000002</v>
      </c>
      <c r="E108" s="12">
        <f>CHOOSE( CONTROL!$C$33, 5.5906, 5.5889) * CHOOSE( CONTROL!$C$16, $D$11, 100%, $F$11)</f>
        <v>5.5906000000000002</v>
      </c>
      <c r="F108" s="4">
        <f>CHOOSE( CONTROL!$C$33, 6.2993, 6.2977) * CHOOSE(CONTROL!$C$16, $D$11, 100%, $F$11)</f>
        <v>6.2992999999999997</v>
      </c>
      <c r="G108" s="8">
        <f>CHOOSE( CONTROL!$C$33, 5.5357, 5.5341) * CHOOSE( CONTROL!$C$16, $D$11, 100%, $F$11)</f>
        <v>5.5357000000000003</v>
      </c>
      <c r="H108" s="4">
        <f>CHOOSE( CONTROL!$C$33, 6.4722, 6.4706) * CHOOSE(CONTROL!$C$16, $D$11, 100%, $F$11)</f>
        <v>6.4722</v>
      </c>
      <c r="I108" s="8">
        <f>CHOOSE( CONTROL!$C$33, 5.5251, 5.5235) * CHOOSE(CONTROL!$C$16, $D$11, 100%, $F$11)</f>
        <v>5.5251000000000001</v>
      </c>
      <c r="J108" s="4">
        <f>CHOOSE( CONTROL!$C$33, 5.3966, 5.395) * CHOOSE(CONTROL!$C$16, $D$11, 100%, $F$11)</f>
        <v>5.3966000000000003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1.2927</v>
      </c>
      <c r="Q108" s="9">
        <v>33.011299999999999</v>
      </c>
      <c r="R108" s="9"/>
      <c r="S108" s="11"/>
    </row>
    <row r="109" spans="1:19" ht="15.75">
      <c r="A109" s="13">
        <v>44440</v>
      </c>
      <c r="B109" s="8">
        <f>CHOOSE( CONTROL!$C$33, 5.4553, 5.4537) * CHOOSE(CONTROL!$C$16, $D$11, 100%, $F$11)</f>
        <v>5.4553000000000003</v>
      </c>
      <c r="C109" s="8">
        <f>CHOOSE( CONTROL!$C$33, 5.4633, 5.4617) * CHOOSE(CONTROL!$C$16, $D$11, 100%, $F$11)</f>
        <v>5.4633000000000003</v>
      </c>
      <c r="D109" s="8">
        <f>CHOOSE( CONTROL!$C$33, 5.4821, 5.4804) * CHOOSE( CONTROL!$C$16, $D$11, 100%, $F$11)</f>
        <v>5.4821</v>
      </c>
      <c r="E109" s="12">
        <f>CHOOSE( CONTROL!$C$33, 5.4741, 5.4724) * CHOOSE( CONTROL!$C$16, $D$11, 100%, $F$11)</f>
        <v>5.4741</v>
      </c>
      <c r="F109" s="4">
        <f>CHOOSE( CONTROL!$C$33, 6.1829, 6.1812) * CHOOSE(CONTROL!$C$16, $D$11, 100%, $F$11)</f>
        <v>6.1829000000000001</v>
      </c>
      <c r="G109" s="8">
        <f>CHOOSE( CONTROL!$C$33, 5.4205, 5.4189) * CHOOSE( CONTROL!$C$16, $D$11, 100%, $F$11)</f>
        <v>5.4204999999999997</v>
      </c>
      <c r="H109" s="4">
        <f>CHOOSE( CONTROL!$C$33, 6.3571, 6.3555) * CHOOSE(CONTROL!$C$16, $D$11, 100%, $F$11)</f>
        <v>6.3571</v>
      </c>
      <c r="I109" s="8">
        <f>CHOOSE( CONTROL!$C$33, 5.4117, 5.4101) * CHOOSE(CONTROL!$C$16, $D$11, 100%, $F$11)</f>
        <v>5.4116999999999997</v>
      </c>
      <c r="J109" s="4">
        <f>CHOOSE( CONTROL!$C$33, 5.2836, 5.282) * CHOOSE(CONTROL!$C$16, $D$11, 100%, $F$11)</f>
        <v>5.2835999999999999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1.2509999999999999</v>
      </c>
      <c r="Q109" s="9">
        <v>31.946400000000001</v>
      </c>
      <c r="R109" s="9"/>
      <c r="S109" s="11"/>
    </row>
    <row r="110" spans="1:19" ht="15.75">
      <c r="A110" s="13">
        <v>44470</v>
      </c>
      <c r="B110" s="8">
        <f>CHOOSE( CONTROL!$C$33, 5.6948, 5.6937) * CHOOSE(CONTROL!$C$16, $D$11, 100%, $F$11)</f>
        <v>5.6947999999999999</v>
      </c>
      <c r="C110" s="8">
        <f>CHOOSE( CONTROL!$C$33, 5.7001, 5.6991) * CHOOSE(CONTROL!$C$16, $D$11, 100%, $F$11)</f>
        <v>5.7000999999999999</v>
      </c>
      <c r="D110" s="8">
        <f>CHOOSE( CONTROL!$C$33, 5.7246, 5.7235) * CHOOSE( CONTROL!$C$16, $D$11, 100%, $F$11)</f>
        <v>5.7245999999999997</v>
      </c>
      <c r="E110" s="12">
        <f>CHOOSE( CONTROL!$C$33, 5.7159, 5.7149) * CHOOSE( CONTROL!$C$16, $D$11, 100%, $F$11)</f>
        <v>5.7159000000000004</v>
      </c>
      <c r="F110" s="4">
        <f>CHOOSE( CONTROL!$C$33, 6.4241, 6.423) * CHOOSE(CONTROL!$C$16, $D$11, 100%, $F$11)</f>
        <v>6.4241000000000001</v>
      </c>
      <c r="G110" s="8">
        <f>CHOOSE( CONTROL!$C$33, 5.6591, 5.658) * CHOOSE( CONTROL!$C$16, $D$11, 100%, $F$11)</f>
        <v>5.6590999999999996</v>
      </c>
      <c r="H110" s="4">
        <f>CHOOSE( CONTROL!$C$33, 6.5955, 6.5944) * CHOOSE(CONTROL!$C$16, $D$11, 100%, $F$11)</f>
        <v>6.5955000000000004</v>
      </c>
      <c r="I110" s="8">
        <f>CHOOSE( CONTROL!$C$33, 5.6468, 5.6457) * CHOOSE(CONTROL!$C$16, $D$11, 100%, $F$11)</f>
        <v>5.6467999999999998</v>
      </c>
      <c r="J110" s="4">
        <f>CHOOSE( CONTROL!$C$33, 5.5177, 5.5166) * CHOOSE(CONTROL!$C$16, $D$11, 100%, $F$11)</f>
        <v>5.5176999999999996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1.2927</v>
      </c>
      <c r="Q110" s="9">
        <v>33.011299999999999</v>
      </c>
      <c r="R110" s="9"/>
      <c r="S110" s="11"/>
    </row>
    <row r="111" spans="1:19" ht="15.75">
      <c r="A111" s="13">
        <v>44501</v>
      </c>
      <c r="B111" s="8">
        <f>CHOOSE( CONTROL!$C$33, 6.1407, 6.1396) * CHOOSE(CONTROL!$C$16, $D$11, 100%, $F$11)</f>
        <v>6.1406999999999998</v>
      </c>
      <c r="C111" s="8">
        <f>CHOOSE( CONTROL!$C$33, 6.1458, 6.1447) * CHOOSE(CONTROL!$C$16, $D$11, 100%, $F$11)</f>
        <v>6.1458000000000004</v>
      </c>
      <c r="D111" s="8">
        <f>CHOOSE( CONTROL!$C$33, 6.1362, 6.1351) * CHOOSE( CONTROL!$C$16, $D$11, 100%, $F$11)</f>
        <v>6.1361999999999997</v>
      </c>
      <c r="E111" s="12">
        <f>CHOOSE( CONTROL!$C$33, 6.1392, 6.1381) * CHOOSE( CONTROL!$C$16, $D$11, 100%, $F$11)</f>
        <v>6.1391999999999998</v>
      </c>
      <c r="F111" s="4">
        <f>CHOOSE( CONTROL!$C$33, 6.8008, 6.7997) * CHOOSE(CONTROL!$C$16, $D$11, 100%, $F$11)</f>
        <v>6.8007999999999997</v>
      </c>
      <c r="G111" s="8">
        <f>CHOOSE( CONTROL!$C$33, 6.0867, 6.0856) * CHOOSE( CONTROL!$C$16, $D$11, 100%, $F$11)</f>
        <v>6.0867000000000004</v>
      </c>
      <c r="H111" s="4">
        <f>CHOOSE( CONTROL!$C$33, 6.9678, 6.9667) * CHOOSE(CONTROL!$C$16, $D$11, 100%, $F$11)</f>
        <v>6.9678000000000004</v>
      </c>
      <c r="I111" s="8">
        <f>CHOOSE( CONTROL!$C$33, 6.1394, 6.1384) * CHOOSE(CONTROL!$C$16, $D$11, 100%, $F$11)</f>
        <v>6.1394000000000002</v>
      </c>
      <c r="J111" s="4">
        <f>CHOOSE( CONTROL!$C$33, 5.9508, 5.9497) * CHOOSE(CONTROL!$C$16, $D$11, 100%, $F$11)</f>
        <v>5.9508000000000001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31.946400000000001</v>
      </c>
      <c r="R111" s="9"/>
      <c r="S111" s="11"/>
    </row>
    <row r="112" spans="1:19" ht="15.75">
      <c r="A112" s="13">
        <v>44531</v>
      </c>
      <c r="B112" s="8">
        <f>CHOOSE( CONTROL!$C$33, 6.1295, 6.1284) * CHOOSE(CONTROL!$C$16, $D$11, 100%, $F$11)</f>
        <v>6.1295000000000002</v>
      </c>
      <c r="C112" s="8">
        <f>CHOOSE( CONTROL!$C$33, 6.1346, 6.1335) * CHOOSE(CONTROL!$C$16, $D$11, 100%, $F$11)</f>
        <v>6.1345999999999998</v>
      </c>
      <c r="D112" s="8">
        <f>CHOOSE( CONTROL!$C$33, 6.1264, 6.1253) * CHOOSE( CONTROL!$C$16, $D$11, 100%, $F$11)</f>
        <v>6.1264000000000003</v>
      </c>
      <c r="E112" s="12">
        <f>CHOOSE( CONTROL!$C$33, 6.1289, 6.1278) * CHOOSE( CONTROL!$C$16, $D$11, 100%, $F$11)</f>
        <v>6.1288999999999998</v>
      </c>
      <c r="F112" s="4">
        <f>CHOOSE( CONTROL!$C$33, 6.7897, 6.7886) * CHOOSE(CONTROL!$C$16, $D$11, 100%, $F$11)</f>
        <v>6.7896999999999998</v>
      </c>
      <c r="G112" s="8">
        <f>CHOOSE( CONTROL!$C$33, 6.0767, 6.0756) * CHOOSE( CONTROL!$C$16, $D$11, 100%, $F$11)</f>
        <v>6.0766999999999998</v>
      </c>
      <c r="H112" s="4">
        <f>CHOOSE( CONTROL!$C$33, 6.9568, 6.9557) * CHOOSE(CONTROL!$C$16, $D$11, 100%, $F$11)</f>
        <v>6.9568000000000003</v>
      </c>
      <c r="I112" s="8">
        <f>CHOOSE( CONTROL!$C$33, 6.133, 6.132) * CHOOSE(CONTROL!$C$16, $D$11, 100%, $F$11)</f>
        <v>6.133</v>
      </c>
      <c r="J112" s="4">
        <f>CHOOSE( CONTROL!$C$33, 5.94, 5.9389) * CHOOSE(CONTROL!$C$16, $D$11, 100%, $F$11)</f>
        <v>5.94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33.011299999999999</v>
      </c>
      <c r="R112" s="9"/>
      <c r="S112" s="11"/>
    </row>
    <row r="113" spans="1:19" ht="15.75">
      <c r="A113" s="13">
        <v>44562</v>
      </c>
      <c r="B113" s="8">
        <f>CHOOSE( CONTROL!$C$33, 6.38, 6.3789) * CHOOSE(CONTROL!$C$16, $D$11, 100%, $F$11)</f>
        <v>6.38</v>
      </c>
      <c r="C113" s="8">
        <f>CHOOSE( CONTROL!$C$33, 6.3851, 6.384) * CHOOSE(CONTROL!$C$16, $D$11, 100%, $F$11)</f>
        <v>6.3851000000000004</v>
      </c>
      <c r="D113" s="8">
        <f>CHOOSE( CONTROL!$C$33, 6.3877, 6.3866) * CHOOSE( CONTROL!$C$16, $D$11, 100%, $F$11)</f>
        <v>6.3876999999999997</v>
      </c>
      <c r="E113" s="12">
        <f>CHOOSE( CONTROL!$C$33, 6.3862, 6.3851) * CHOOSE( CONTROL!$C$16, $D$11, 100%, $F$11)</f>
        <v>6.3861999999999997</v>
      </c>
      <c r="F113" s="4">
        <f>CHOOSE( CONTROL!$C$33, 7.0401, 7.039) * CHOOSE(CONTROL!$C$16, $D$11, 100%, $F$11)</f>
        <v>7.0400999999999998</v>
      </c>
      <c r="G113" s="8">
        <f>CHOOSE( CONTROL!$C$33, 6.327, 6.326) * CHOOSE( CONTROL!$C$16, $D$11, 100%, $F$11)</f>
        <v>6.327</v>
      </c>
      <c r="H113" s="4">
        <f>CHOOSE( CONTROL!$C$33, 7.2043, 7.2032) * CHOOSE(CONTROL!$C$16, $D$11, 100%, $F$11)</f>
        <v>7.2042999999999999</v>
      </c>
      <c r="I113" s="8">
        <f>CHOOSE( CONTROL!$C$33, 6.3477, 6.3467) * CHOOSE(CONTROL!$C$16, $D$11, 100%, $F$11)</f>
        <v>6.3476999999999997</v>
      </c>
      <c r="J113" s="4">
        <f>CHOOSE( CONTROL!$C$33, 6.183, 6.182) * CHOOSE(CONTROL!$C$16, $D$11, 100%, $F$11)</f>
        <v>6.1829999999999998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32.8123</v>
      </c>
      <c r="R113" s="9"/>
      <c r="S113" s="11"/>
    </row>
    <row r="114" spans="1:19" ht="15.75">
      <c r="A114" s="13">
        <v>44593</v>
      </c>
      <c r="B114" s="8">
        <f>CHOOSE( CONTROL!$C$33, 5.9682, 5.9671) * CHOOSE(CONTROL!$C$16, $D$11, 100%, $F$11)</f>
        <v>5.9682000000000004</v>
      </c>
      <c r="C114" s="8">
        <f>CHOOSE( CONTROL!$C$33, 5.9733, 5.9722) * CHOOSE(CONTROL!$C$16, $D$11, 100%, $F$11)</f>
        <v>5.9733000000000001</v>
      </c>
      <c r="D114" s="8">
        <f>CHOOSE( CONTROL!$C$33, 5.9758, 5.9747) * CHOOSE( CONTROL!$C$16, $D$11, 100%, $F$11)</f>
        <v>5.9757999999999996</v>
      </c>
      <c r="E114" s="12">
        <f>CHOOSE( CONTROL!$C$33, 5.9743, 5.9732) * CHOOSE( CONTROL!$C$16, $D$11, 100%, $F$11)</f>
        <v>5.9743000000000004</v>
      </c>
      <c r="F114" s="4">
        <f>CHOOSE( CONTROL!$C$33, 6.6283, 6.6272) * CHOOSE(CONTROL!$C$16, $D$11, 100%, $F$11)</f>
        <v>6.6283000000000003</v>
      </c>
      <c r="G114" s="8">
        <f>CHOOSE( CONTROL!$C$33, 5.92, 5.9189) * CHOOSE( CONTROL!$C$16, $D$11, 100%, $F$11)</f>
        <v>5.92</v>
      </c>
      <c r="H114" s="4">
        <f>CHOOSE( CONTROL!$C$33, 6.7973, 6.7963) * CHOOSE(CONTROL!$C$16, $D$11, 100%, $F$11)</f>
        <v>6.7972999999999999</v>
      </c>
      <c r="I114" s="8">
        <f>CHOOSE( CONTROL!$C$33, 5.9476, 5.9466) * CHOOSE(CONTROL!$C$16, $D$11, 100%, $F$11)</f>
        <v>5.9476000000000004</v>
      </c>
      <c r="J114" s="4">
        <f>CHOOSE( CONTROL!$C$33, 5.7834, 5.7823) * CHOOSE(CONTROL!$C$16, $D$11, 100%, $F$11)</f>
        <v>5.7834000000000003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29.636900000000001</v>
      </c>
      <c r="R114" s="9"/>
      <c r="S114" s="11"/>
    </row>
    <row r="115" spans="1:19" ht="15.75">
      <c r="A115" s="13">
        <v>44621</v>
      </c>
      <c r="B115" s="8">
        <f>CHOOSE( CONTROL!$C$33, 5.8414, 5.8403) * CHOOSE(CONTROL!$C$16, $D$11, 100%, $F$11)</f>
        <v>5.8414000000000001</v>
      </c>
      <c r="C115" s="8">
        <f>CHOOSE( CONTROL!$C$33, 5.8464, 5.8453) * CHOOSE(CONTROL!$C$16, $D$11, 100%, $F$11)</f>
        <v>5.8464</v>
      </c>
      <c r="D115" s="8">
        <f>CHOOSE( CONTROL!$C$33, 5.8483, 5.8472) * CHOOSE( CONTROL!$C$16, $D$11, 100%, $F$11)</f>
        <v>5.8483000000000001</v>
      </c>
      <c r="E115" s="12">
        <f>CHOOSE( CONTROL!$C$33, 5.8471, 5.846) * CHOOSE( CONTROL!$C$16, $D$11, 100%, $F$11)</f>
        <v>5.8471000000000002</v>
      </c>
      <c r="F115" s="4">
        <f>CHOOSE( CONTROL!$C$33, 6.5015, 6.5004) * CHOOSE(CONTROL!$C$16, $D$11, 100%, $F$11)</f>
        <v>6.5015000000000001</v>
      </c>
      <c r="G115" s="8">
        <f>CHOOSE( CONTROL!$C$33, 5.7942, 5.7931) * CHOOSE( CONTROL!$C$16, $D$11, 100%, $F$11)</f>
        <v>5.7942</v>
      </c>
      <c r="H115" s="4">
        <f>CHOOSE( CONTROL!$C$33, 6.672, 6.6709) * CHOOSE(CONTROL!$C$16, $D$11, 100%, $F$11)</f>
        <v>6.6719999999999997</v>
      </c>
      <c r="I115" s="8">
        <f>CHOOSE( CONTROL!$C$33, 5.8223, 5.8213) * CHOOSE(CONTROL!$C$16, $D$11, 100%, $F$11)</f>
        <v>5.8223000000000003</v>
      </c>
      <c r="J115" s="4">
        <f>CHOOSE( CONTROL!$C$33, 5.6603, 5.6592) * CHOOSE(CONTROL!$C$16, $D$11, 100%, $F$11)</f>
        <v>5.6603000000000003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32.8123</v>
      </c>
      <c r="R115" s="9"/>
      <c r="S115" s="11"/>
    </row>
    <row r="116" spans="1:19" ht="15.75">
      <c r="A116" s="13">
        <v>44652</v>
      </c>
      <c r="B116" s="8">
        <f>CHOOSE( CONTROL!$C$33, 5.9307, 5.9297) * CHOOSE(CONTROL!$C$16, $D$11, 100%, $F$11)</f>
        <v>5.9306999999999999</v>
      </c>
      <c r="C116" s="8">
        <f>CHOOSE( CONTROL!$C$33, 5.9353, 5.9342) * CHOOSE(CONTROL!$C$16, $D$11, 100%, $F$11)</f>
        <v>5.9352999999999998</v>
      </c>
      <c r="D116" s="8">
        <f>CHOOSE( CONTROL!$C$33, 5.9596, 5.9585) * CHOOSE( CONTROL!$C$16, $D$11, 100%, $F$11)</f>
        <v>5.9596</v>
      </c>
      <c r="E116" s="12">
        <f>CHOOSE( CONTROL!$C$33, 5.951, 5.95) * CHOOSE( CONTROL!$C$16, $D$11, 100%, $F$11)</f>
        <v>5.9509999999999996</v>
      </c>
      <c r="F116" s="4">
        <f>CHOOSE( CONTROL!$C$33, 6.6597, 6.6586) * CHOOSE(CONTROL!$C$16, $D$11, 100%, $F$11)</f>
        <v>6.6597</v>
      </c>
      <c r="G116" s="8">
        <f>CHOOSE( CONTROL!$C$33, 5.8915, 5.8904) * CHOOSE( CONTROL!$C$16, $D$11, 100%, $F$11)</f>
        <v>5.8914999999999997</v>
      </c>
      <c r="H116" s="4">
        <f>CHOOSE( CONTROL!$C$33, 6.8283, 6.8272) * CHOOSE(CONTROL!$C$16, $D$11, 100%, $F$11)</f>
        <v>6.8282999999999996</v>
      </c>
      <c r="I116" s="8">
        <f>CHOOSE( CONTROL!$C$33, 5.8736, 5.8726) * CHOOSE(CONTROL!$C$16, $D$11, 100%, $F$11)</f>
        <v>5.8735999999999997</v>
      </c>
      <c r="J116" s="4">
        <f>CHOOSE( CONTROL!$C$33, 5.7463, 5.7452) * CHOOSE(CONTROL!$C$16, $D$11, 100%, $F$11)</f>
        <v>5.7462999999999997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1.2509999999999999</v>
      </c>
      <c r="Q116" s="9">
        <v>31.753799999999998</v>
      </c>
      <c r="R116" s="9"/>
      <c r="S116" s="11"/>
    </row>
    <row r="117" spans="1:19" ht="15.75">
      <c r="A117" s="13">
        <v>44682</v>
      </c>
      <c r="B117" s="8">
        <f>CHOOSE( CONTROL!$C$33, 6.0904, 6.0888) * CHOOSE(CONTROL!$C$16, $D$11, 100%, $F$11)</f>
        <v>6.0903999999999998</v>
      </c>
      <c r="C117" s="8">
        <f>CHOOSE( CONTROL!$C$33, 6.0984, 6.0967) * CHOOSE(CONTROL!$C$16, $D$11, 100%, $F$11)</f>
        <v>6.0983999999999998</v>
      </c>
      <c r="D117" s="8">
        <f>CHOOSE( CONTROL!$C$33, 6.1167, 6.115) * CHOOSE( CONTROL!$C$16, $D$11, 100%, $F$11)</f>
        <v>6.1166999999999998</v>
      </c>
      <c r="E117" s="12">
        <f>CHOOSE( CONTROL!$C$33, 6.1088, 6.1072) * CHOOSE( CONTROL!$C$16, $D$11, 100%, $F$11)</f>
        <v>6.1087999999999996</v>
      </c>
      <c r="F117" s="4">
        <f>CHOOSE( CONTROL!$C$33, 6.818, 6.8163) * CHOOSE(CONTROL!$C$16, $D$11, 100%, $F$11)</f>
        <v>6.8179999999999996</v>
      </c>
      <c r="G117" s="8">
        <f>CHOOSE( CONTROL!$C$33, 6.0478, 6.0462) * CHOOSE( CONTROL!$C$16, $D$11, 100%, $F$11)</f>
        <v>6.0477999999999996</v>
      </c>
      <c r="H117" s="4">
        <f>CHOOSE( CONTROL!$C$33, 6.9848, 6.9831) * CHOOSE(CONTROL!$C$16, $D$11, 100%, $F$11)</f>
        <v>6.9847999999999999</v>
      </c>
      <c r="I117" s="8">
        <f>CHOOSE( CONTROL!$C$33, 6.0267, 6.0251) * CHOOSE(CONTROL!$C$16, $D$11, 100%, $F$11)</f>
        <v>6.0266999999999999</v>
      </c>
      <c r="J117" s="4">
        <f>CHOOSE( CONTROL!$C$33, 5.8999, 5.8983) * CHOOSE(CONTROL!$C$16, $D$11, 100%, $F$11)</f>
        <v>5.8998999999999997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1.2927</v>
      </c>
      <c r="Q117" s="9">
        <v>32.8123</v>
      </c>
      <c r="R117" s="9"/>
      <c r="S117" s="11"/>
    </row>
    <row r="118" spans="1:19" ht="15.75">
      <c r="A118" s="13">
        <v>44713</v>
      </c>
      <c r="B118" s="8">
        <f>CHOOSE( CONTROL!$C$33, 5.9927, 5.9911) * CHOOSE(CONTROL!$C$16, $D$11, 100%, $F$11)</f>
        <v>5.9927000000000001</v>
      </c>
      <c r="C118" s="8">
        <f>CHOOSE( CONTROL!$C$33, 6.0007, 5.999) * CHOOSE(CONTROL!$C$16, $D$11, 100%, $F$11)</f>
        <v>6.0007000000000001</v>
      </c>
      <c r="D118" s="8">
        <f>CHOOSE( CONTROL!$C$33, 6.0192, 6.0176) * CHOOSE( CONTROL!$C$16, $D$11, 100%, $F$11)</f>
        <v>6.0191999999999997</v>
      </c>
      <c r="E118" s="12">
        <f>CHOOSE( CONTROL!$C$33, 6.0113, 6.0097) * CHOOSE( CONTROL!$C$16, $D$11, 100%, $F$11)</f>
        <v>6.0113000000000003</v>
      </c>
      <c r="F118" s="4">
        <f>CHOOSE( CONTROL!$C$33, 6.7203, 6.7186) * CHOOSE(CONTROL!$C$16, $D$11, 100%, $F$11)</f>
        <v>6.7202999999999999</v>
      </c>
      <c r="G118" s="8">
        <f>CHOOSE( CONTROL!$C$33, 5.9514, 5.9498) * CHOOSE( CONTROL!$C$16, $D$11, 100%, $F$11)</f>
        <v>5.9513999999999996</v>
      </c>
      <c r="H118" s="4">
        <f>CHOOSE( CONTROL!$C$33, 6.8882, 6.8866) * CHOOSE(CONTROL!$C$16, $D$11, 100%, $F$11)</f>
        <v>6.8882000000000003</v>
      </c>
      <c r="I118" s="8">
        <f>CHOOSE( CONTROL!$C$33, 5.9327, 5.9311) * CHOOSE(CONTROL!$C$16, $D$11, 100%, $F$11)</f>
        <v>5.9326999999999996</v>
      </c>
      <c r="J118" s="4">
        <f>CHOOSE( CONTROL!$C$33, 5.8051, 5.8035) * CHOOSE(CONTROL!$C$16, $D$11, 100%, $F$11)</f>
        <v>5.8051000000000004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1.2509999999999999</v>
      </c>
      <c r="Q118" s="9">
        <v>31.753799999999998</v>
      </c>
      <c r="R118" s="9"/>
      <c r="S118" s="11"/>
    </row>
    <row r="119" spans="1:19" ht="15.75">
      <c r="A119" s="13">
        <v>44743</v>
      </c>
      <c r="B119" s="8">
        <f>CHOOSE( CONTROL!$C$33, 6.25, 6.2484) * CHOOSE(CONTROL!$C$16, $D$11, 100%, $F$11)</f>
        <v>6.25</v>
      </c>
      <c r="C119" s="8">
        <f>CHOOSE( CONTROL!$C$33, 6.258, 6.2563) * CHOOSE(CONTROL!$C$16, $D$11, 100%, $F$11)</f>
        <v>6.258</v>
      </c>
      <c r="D119" s="8">
        <f>CHOOSE( CONTROL!$C$33, 6.2768, 6.2751) * CHOOSE( CONTROL!$C$16, $D$11, 100%, $F$11)</f>
        <v>6.2767999999999997</v>
      </c>
      <c r="E119" s="12">
        <f>CHOOSE( CONTROL!$C$33, 6.2688, 6.2671) * CHOOSE( CONTROL!$C$16, $D$11, 100%, $F$11)</f>
        <v>6.2687999999999997</v>
      </c>
      <c r="F119" s="4">
        <f>CHOOSE( CONTROL!$C$33, 6.9776, 6.9759) * CHOOSE(CONTROL!$C$16, $D$11, 100%, $F$11)</f>
        <v>6.9775999999999998</v>
      </c>
      <c r="G119" s="8">
        <f>CHOOSE( CONTROL!$C$33, 6.2059, 6.2043) * CHOOSE( CONTROL!$C$16, $D$11, 100%, $F$11)</f>
        <v>6.2058999999999997</v>
      </c>
      <c r="H119" s="4">
        <f>CHOOSE( CONTROL!$C$33, 7.1425, 7.1409) * CHOOSE(CONTROL!$C$16, $D$11, 100%, $F$11)</f>
        <v>7.1425000000000001</v>
      </c>
      <c r="I119" s="8">
        <f>CHOOSE( CONTROL!$C$33, 6.1834, 6.1818) * CHOOSE(CONTROL!$C$16, $D$11, 100%, $F$11)</f>
        <v>6.1833999999999998</v>
      </c>
      <c r="J119" s="4">
        <f>CHOOSE( CONTROL!$C$33, 6.0548, 6.0532) * CHOOSE(CONTROL!$C$16, $D$11, 100%, $F$11)</f>
        <v>6.0548000000000002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1.2927</v>
      </c>
      <c r="Q119" s="9">
        <v>32.8123</v>
      </c>
      <c r="R119" s="9"/>
      <c r="S119" s="11"/>
    </row>
    <row r="120" spans="1:19" ht="15.75">
      <c r="A120" s="13">
        <v>44774</v>
      </c>
      <c r="B120" s="8">
        <f>CHOOSE( CONTROL!$C$33, 5.7686, 5.7669) * CHOOSE(CONTROL!$C$16, $D$11, 100%, $F$11)</f>
        <v>5.7686000000000002</v>
      </c>
      <c r="C120" s="8">
        <f>CHOOSE( CONTROL!$C$33, 5.7765, 5.7749) * CHOOSE(CONTROL!$C$16, $D$11, 100%, $F$11)</f>
        <v>5.7765000000000004</v>
      </c>
      <c r="D120" s="8">
        <f>CHOOSE( CONTROL!$C$33, 5.7954, 5.7937) * CHOOSE( CONTROL!$C$16, $D$11, 100%, $F$11)</f>
        <v>5.7953999999999999</v>
      </c>
      <c r="E120" s="12">
        <f>CHOOSE( CONTROL!$C$33, 5.7873, 5.7857) * CHOOSE( CONTROL!$C$16, $D$11, 100%, $F$11)</f>
        <v>5.7873000000000001</v>
      </c>
      <c r="F120" s="4">
        <f>CHOOSE( CONTROL!$C$33, 6.4961, 6.4945) * CHOOSE(CONTROL!$C$16, $D$11, 100%, $F$11)</f>
        <v>6.4961000000000002</v>
      </c>
      <c r="G120" s="8">
        <f>CHOOSE( CONTROL!$C$33, 5.7302, 5.7285) * CHOOSE( CONTROL!$C$16, $D$11, 100%, $F$11)</f>
        <v>5.7302</v>
      </c>
      <c r="H120" s="4">
        <f>CHOOSE( CONTROL!$C$33, 6.6667, 6.665) * CHOOSE(CONTROL!$C$16, $D$11, 100%, $F$11)</f>
        <v>6.6666999999999996</v>
      </c>
      <c r="I120" s="8">
        <f>CHOOSE( CONTROL!$C$33, 5.7162, 5.7146) * CHOOSE(CONTROL!$C$16, $D$11, 100%, $F$11)</f>
        <v>5.7161999999999997</v>
      </c>
      <c r="J120" s="4">
        <f>CHOOSE( CONTROL!$C$33, 5.5876, 5.586) * CHOOSE(CONTROL!$C$16, $D$11, 100%, $F$11)</f>
        <v>5.5876000000000001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1.2927</v>
      </c>
      <c r="Q120" s="9">
        <v>32.8123</v>
      </c>
      <c r="R120" s="9"/>
      <c r="S120" s="11"/>
    </row>
    <row r="121" spans="1:19" ht="15.75">
      <c r="A121" s="13">
        <v>44805</v>
      </c>
      <c r="B121" s="8">
        <f>CHOOSE( CONTROL!$C$33, 5.648, 5.6463) * CHOOSE(CONTROL!$C$16, $D$11, 100%, $F$11)</f>
        <v>5.6479999999999997</v>
      </c>
      <c r="C121" s="8">
        <f>CHOOSE( CONTROL!$C$33, 5.656, 5.6543) * CHOOSE(CONTROL!$C$16, $D$11, 100%, $F$11)</f>
        <v>5.6559999999999997</v>
      </c>
      <c r="D121" s="8">
        <f>CHOOSE( CONTROL!$C$33, 5.6747, 5.6731) * CHOOSE( CONTROL!$C$16, $D$11, 100%, $F$11)</f>
        <v>5.6746999999999996</v>
      </c>
      <c r="E121" s="12">
        <f>CHOOSE( CONTROL!$C$33, 5.6667, 5.6651) * CHOOSE( CONTROL!$C$16, $D$11, 100%, $F$11)</f>
        <v>5.6666999999999996</v>
      </c>
      <c r="F121" s="4">
        <f>CHOOSE( CONTROL!$C$33, 6.3755, 6.3739) * CHOOSE(CONTROL!$C$16, $D$11, 100%, $F$11)</f>
        <v>6.3754999999999997</v>
      </c>
      <c r="G121" s="8">
        <f>CHOOSE( CONTROL!$C$33, 5.6109, 5.6093) * CHOOSE( CONTROL!$C$16, $D$11, 100%, $F$11)</f>
        <v>5.6109</v>
      </c>
      <c r="H121" s="4">
        <f>CHOOSE( CONTROL!$C$33, 6.5475, 6.5459) * CHOOSE(CONTROL!$C$16, $D$11, 100%, $F$11)</f>
        <v>6.5475000000000003</v>
      </c>
      <c r="I121" s="8">
        <f>CHOOSE( CONTROL!$C$33, 5.5987, 5.5971) * CHOOSE(CONTROL!$C$16, $D$11, 100%, $F$11)</f>
        <v>5.5987</v>
      </c>
      <c r="J121" s="4">
        <f>CHOOSE( CONTROL!$C$33, 5.4706, 5.469) * CHOOSE(CONTROL!$C$16, $D$11, 100%, $F$11)</f>
        <v>5.4706000000000001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1.2509999999999999</v>
      </c>
      <c r="Q121" s="9">
        <v>31.753799999999998</v>
      </c>
      <c r="R121" s="9"/>
      <c r="S121" s="11"/>
    </row>
    <row r="122" spans="1:19" ht="15.75">
      <c r="A122" s="13">
        <v>44835</v>
      </c>
      <c r="B122" s="8">
        <f>CHOOSE( CONTROL!$C$33, 5.896, 5.895) * CHOOSE(CONTROL!$C$16, $D$11, 100%, $F$11)</f>
        <v>5.8959999999999999</v>
      </c>
      <c r="C122" s="8">
        <f>CHOOSE( CONTROL!$C$33, 5.9014, 5.9003) * CHOOSE(CONTROL!$C$16, $D$11, 100%, $F$11)</f>
        <v>5.9013999999999998</v>
      </c>
      <c r="D122" s="8">
        <f>CHOOSE( CONTROL!$C$33, 5.9258, 5.9247) * CHOOSE( CONTROL!$C$16, $D$11, 100%, $F$11)</f>
        <v>5.9257999999999997</v>
      </c>
      <c r="E122" s="12">
        <f>CHOOSE( CONTROL!$C$33, 5.9172, 5.9161) * CHOOSE( CONTROL!$C$16, $D$11, 100%, $F$11)</f>
        <v>5.9172000000000002</v>
      </c>
      <c r="F122" s="4">
        <f>CHOOSE( CONTROL!$C$33, 6.6253, 6.6242) * CHOOSE(CONTROL!$C$16, $D$11, 100%, $F$11)</f>
        <v>6.6253000000000002</v>
      </c>
      <c r="G122" s="8">
        <f>CHOOSE( CONTROL!$C$33, 5.8579, 5.8569) * CHOOSE( CONTROL!$C$16, $D$11, 100%, $F$11)</f>
        <v>5.8578999999999999</v>
      </c>
      <c r="H122" s="4">
        <f>CHOOSE( CONTROL!$C$33, 6.7944, 6.7933) * CHOOSE(CONTROL!$C$16, $D$11, 100%, $F$11)</f>
        <v>6.7944000000000004</v>
      </c>
      <c r="I122" s="8">
        <f>CHOOSE( CONTROL!$C$33, 5.8421, 5.8411) * CHOOSE(CONTROL!$C$16, $D$11, 100%, $F$11)</f>
        <v>5.8421000000000003</v>
      </c>
      <c r="J122" s="4">
        <f>CHOOSE( CONTROL!$C$33, 5.713, 5.7119) * CHOOSE(CONTROL!$C$16, $D$11, 100%, $F$11)</f>
        <v>5.7130000000000001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1.2927</v>
      </c>
      <c r="Q122" s="9">
        <v>32.8123</v>
      </c>
      <c r="R122" s="9"/>
      <c r="S122" s="11"/>
    </row>
    <row r="123" spans="1:19" ht="15.75">
      <c r="A123" s="13">
        <v>44866</v>
      </c>
      <c r="B123" s="8">
        <f>CHOOSE( CONTROL!$C$33, 6.3577, 6.3566) * CHOOSE(CONTROL!$C$16, $D$11, 100%, $F$11)</f>
        <v>6.3577000000000004</v>
      </c>
      <c r="C123" s="8">
        <f>CHOOSE( CONTROL!$C$33, 6.3628, 6.3617) * CHOOSE(CONTROL!$C$16, $D$11, 100%, $F$11)</f>
        <v>6.3628</v>
      </c>
      <c r="D123" s="8">
        <f>CHOOSE( CONTROL!$C$33, 6.3532, 6.3521) * CHOOSE( CONTROL!$C$16, $D$11, 100%, $F$11)</f>
        <v>6.3532000000000002</v>
      </c>
      <c r="E123" s="12">
        <f>CHOOSE( CONTROL!$C$33, 6.3562, 6.3551) * CHOOSE( CONTROL!$C$16, $D$11, 100%, $F$11)</f>
        <v>6.3562000000000003</v>
      </c>
      <c r="F123" s="4">
        <f>CHOOSE( CONTROL!$C$33, 7.0178, 7.0167) * CHOOSE(CONTROL!$C$16, $D$11, 100%, $F$11)</f>
        <v>7.0178000000000003</v>
      </c>
      <c r="G123" s="8">
        <f>CHOOSE( CONTROL!$C$33, 6.3012, 6.3001) * CHOOSE( CONTROL!$C$16, $D$11, 100%, $F$11)</f>
        <v>6.3011999999999997</v>
      </c>
      <c r="H123" s="4">
        <f>CHOOSE( CONTROL!$C$33, 7.1823, 7.1812) * CHOOSE(CONTROL!$C$16, $D$11, 100%, $F$11)</f>
        <v>7.1822999999999997</v>
      </c>
      <c r="I123" s="8">
        <f>CHOOSE( CONTROL!$C$33, 6.3501, 6.3491) * CHOOSE(CONTROL!$C$16, $D$11, 100%, $F$11)</f>
        <v>6.3501000000000003</v>
      </c>
      <c r="J123" s="4">
        <f>CHOOSE( CONTROL!$C$33, 6.1614, 6.1603) * CHOOSE(CONTROL!$C$16, $D$11, 100%, $F$11)</f>
        <v>6.1614000000000004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31.753799999999998</v>
      </c>
      <c r="R123" s="9"/>
      <c r="S123" s="11"/>
    </row>
    <row r="124" spans="1:19" ht="15.75">
      <c r="A124" s="13">
        <v>44896</v>
      </c>
      <c r="B124" s="8">
        <f>CHOOSE( CONTROL!$C$33, 6.3462, 6.3451) * CHOOSE(CONTROL!$C$16, $D$11, 100%, $F$11)</f>
        <v>6.3461999999999996</v>
      </c>
      <c r="C124" s="8">
        <f>CHOOSE( CONTROL!$C$33, 6.3512, 6.3501) * CHOOSE(CONTROL!$C$16, $D$11, 100%, $F$11)</f>
        <v>6.3512000000000004</v>
      </c>
      <c r="D124" s="8">
        <f>CHOOSE( CONTROL!$C$33, 6.343, 6.342) * CHOOSE( CONTROL!$C$16, $D$11, 100%, $F$11)</f>
        <v>6.343</v>
      </c>
      <c r="E124" s="12">
        <f>CHOOSE( CONTROL!$C$33, 6.3455, 6.3444) * CHOOSE( CONTROL!$C$16, $D$11, 100%, $F$11)</f>
        <v>6.3455000000000004</v>
      </c>
      <c r="F124" s="4">
        <f>CHOOSE( CONTROL!$C$33, 7.0063, 7.0052) * CHOOSE(CONTROL!$C$16, $D$11, 100%, $F$11)</f>
        <v>7.0063000000000004</v>
      </c>
      <c r="G124" s="8">
        <f>CHOOSE( CONTROL!$C$33, 6.2908, 6.2897) * CHOOSE( CONTROL!$C$16, $D$11, 100%, $F$11)</f>
        <v>6.2907999999999999</v>
      </c>
      <c r="H124" s="4">
        <f>CHOOSE( CONTROL!$C$33, 7.1709, 7.1698) * CHOOSE(CONTROL!$C$16, $D$11, 100%, $F$11)</f>
        <v>7.1708999999999996</v>
      </c>
      <c r="I124" s="8">
        <f>CHOOSE( CONTROL!$C$33, 6.3434, 6.3423) * CHOOSE(CONTROL!$C$16, $D$11, 100%, $F$11)</f>
        <v>6.3433999999999999</v>
      </c>
      <c r="J124" s="4">
        <f>CHOOSE( CONTROL!$C$33, 6.1502, 6.1491) * CHOOSE(CONTROL!$C$16, $D$11, 100%, $F$11)</f>
        <v>6.1501999999999999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32.8123</v>
      </c>
      <c r="R124" s="9"/>
      <c r="S124" s="11"/>
    </row>
    <row r="125" spans="1:19" ht="15.75">
      <c r="A125" s="13">
        <v>44927</v>
      </c>
      <c r="B125" s="8">
        <f>CHOOSE( CONTROL!$C$33, 6.5978, 6.5967) * CHOOSE(CONTROL!$C$16, $D$11, 100%, $F$11)</f>
        <v>6.5978000000000003</v>
      </c>
      <c r="C125" s="8">
        <f>CHOOSE( CONTROL!$C$33, 6.6028, 6.6018) * CHOOSE(CONTROL!$C$16, $D$11, 100%, $F$11)</f>
        <v>6.6028000000000002</v>
      </c>
      <c r="D125" s="8">
        <f>CHOOSE( CONTROL!$C$33, 6.6055, 6.6044) * CHOOSE( CONTROL!$C$16, $D$11, 100%, $F$11)</f>
        <v>6.6055000000000001</v>
      </c>
      <c r="E125" s="12">
        <f>CHOOSE( CONTROL!$C$33, 6.604, 6.6029) * CHOOSE( CONTROL!$C$16, $D$11, 100%, $F$11)</f>
        <v>6.6040000000000001</v>
      </c>
      <c r="F125" s="4">
        <f>CHOOSE( CONTROL!$C$33, 7.2579, 7.2568) * CHOOSE(CONTROL!$C$16, $D$11, 100%, $F$11)</f>
        <v>7.2579000000000002</v>
      </c>
      <c r="G125" s="8">
        <f>CHOOSE( CONTROL!$C$33, 6.5423, 6.5412) * CHOOSE( CONTROL!$C$16, $D$11, 100%, $F$11)</f>
        <v>6.5423</v>
      </c>
      <c r="H125" s="4">
        <f>CHOOSE( CONTROL!$C$33, 7.4195, 7.4185) * CHOOSE(CONTROL!$C$16, $D$11, 100%, $F$11)</f>
        <v>7.4195000000000002</v>
      </c>
      <c r="I125" s="8">
        <f>CHOOSE( CONTROL!$C$33, 6.5592, 6.5581) * CHOOSE(CONTROL!$C$16, $D$11, 100%, $F$11)</f>
        <v>6.5591999999999997</v>
      </c>
      <c r="J125" s="4">
        <f>CHOOSE( CONTROL!$C$33, 6.3944, 6.3933) * CHOOSE(CONTROL!$C$16, $D$11, 100%, $F$11)</f>
        <v>6.3944000000000001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32.624400000000001</v>
      </c>
      <c r="R125" s="9"/>
      <c r="S125" s="11"/>
    </row>
    <row r="126" spans="1:19" ht="15.75">
      <c r="A126" s="13">
        <v>44958</v>
      </c>
      <c r="B126" s="8">
        <f>CHOOSE( CONTROL!$C$33, 6.1719, 6.1708) * CHOOSE(CONTROL!$C$16, $D$11, 100%, $F$11)</f>
        <v>6.1718999999999999</v>
      </c>
      <c r="C126" s="8">
        <f>CHOOSE( CONTROL!$C$33, 6.177, 6.1759) * CHOOSE(CONTROL!$C$16, $D$11, 100%, $F$11)</f>
        <v>6.1769999999999996</v>
      </c>
      <c r="D126" s="8">
        <f>CHOOSE( CONTROL!$C$33, 6.1795, 6.1784) * CHOOSE( CONTROL!$C$16, $D$11, 100%, $F$11)</f>
        <v>6.1795</v>
      </c>
      <c r="E126" s="12">
        <f>CHOOSE( CONTROL!$C$33, 6.178, 6.1769) * CHOOSE( CONTROL!$C$16, $D$11, 100%, $F$11)</f>
        <v>6.1779999999999999</v>
      </c>
      <c r="F126" s="4">
        <f>CHOOSE( CONTROL!$C$33, 6.832, 6.8309) * CHOOSE(CONTROL!$C$16, $D$11, 100%, $F$11)</f>
        <v>6.8319999999999999</v>
      </c>
      <c r="G126" s="8">
        <f>CHOOSE( CONTROL!$C$33, 6.1213, 6.1202) * CHOOSE( CONTROL!$C$16, $D$11, 100%, $F$11)</f>
        <v>6.1212999999999997</v>
      </c>
      <c r="H126" s="4">
        <f>CHOOSE( CONTROL!$C$33, 6.9986, 6.9976) * CHOOSE(CONTROL!$C$16, $D$11, 100%, $F$11)</f>
        <v>6.9985999999999997</v>
      </c>
      <c r="I126" s="8">
        <f>CHOOSE( CONTROL!$C$33, 6.1454, 6.1443) * CHOOSE(CONTROL!$C$16, $D$11, 100%, $F$11)</f>
        <v>6.1454000000000004</v>
      </c>
      <c r="J126" s="4">
        <f>CHOOSE( CONTROL!$C$33, 5.9811, 5.98) * CHOOSE(CONTROL!$C$16, $D$11, 100%, $F$11)</f>
        <v>5.9810999999999996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29.467199999999998</v>
      </c>
      <c r="R126" s="9"/>
      <c r="S126" s="11"/>
    </row>
    <row r="127" spans="1:19" ht="15.75">
      <c r="A127" s="13">
        <v>44986</v>
      </c>
      <c r="B127" s="8">
        <f>CHOOSE( CONTROL!$C$33, 6.0407, 6.0396) * CHOOSE(CONTROL!$C$16, $D$11, 100%, $F$11)</f>
        <v>6.0407000000000002</v>
      </c>
      <c r="C127" s="8">
        <f>CHOOSE( CONTROL!$C$33, 6.0458, 6.0447) * CHOOSE(CONTROL!$C$16, $D$11, 100%, $F$11)</f>
        <v>6.0457999999999998</v>
      </c>
      <c r="D127" s="8">
        <f>CHOOSE( CONTROL!$C$33, 6.0477, 6.0466) * CHOOSE( CONTROL!$C$16, $D$11, 100%, $F$11)</f>
        <v>6.0476999999999999</v>
      </c>
      <c r="E127" s="12">
        <f>CHOOSE( CONTROL!$C$33, 6.0465, 6.0454) * CHOOSE( CONTROL!$C$16, $D$11, 100%, $F$11)</f>
        <v>6.0465</v>
      </c>
      <c r="F127" s="4">
        <f>CHOOSE( CONTROL!$C$33, 6.7008, 6.6998) * CHOOSE(CONTROL!$C$16, $D$11, 100%, $F$11)</f>
        <v>6.7008000000000001</v>
      </c>
      <c r="G127" s="8">
        <f>CHOOSE( CONTROL!$C$33, 5.9912, 5.9901) * CHOOSE( CONTROL!$C$16, $D$11, 100%, $F$11)</f>
        <v>5.9912000000000001</v>
      </c>
      <c r="H127" s="4">
        <f>CHOOSE( CONTROL!$C$33, 6.869, 6.8679) * CHOOSE(CONTROL!$C$16, $D$11, 100%, $F$11)</f>
        <v>6.8689999999999998</v>
      </c>
      <c r="I127" s="8">
        <f>CHOOSE( CONTROL!$C$33, 6.0159, 6.0148) * CHOOSE(CONTROL!$C$16, $D$11, 100%, $F$11)</f>
        <v>6.0159000000000002</v>
      </c>
      <c r="J127" s="4">
        <f>CHOOSE( CONTROL!$C$33, 5.8538, 5.8527) * CHOOSE(CONTROL!$C$16, $D$11, 100%, $F$11)</f>
        <v>5.8537999999999997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32.624400000000001</v>
      </c>
      <c r="R127" s="9"/>
      <c r="S127" s="11"/>
    </row>
    <row r="128" spans="1:19" ht="15.75">
      <c r="A128" s="13">
        <v>45017</v>
      </c>
      <c r="B128" s="8">
        <f>CHOOSE( CONTROL!$C$33, 6.1331, 6.1321) * CHOOSE(CONTROL!$C$16, $D$11, 100%, $F$11)</f>
        <v>6.1330999999999998</v>
      </c>
      <c r="C128" s="8">
        <f>CHOOSE( CONTROL!$C$33, 6.1376, 6.1366) * CHOOSE(CONTROL!$C$16, $D$11, 100%, $F$11)</f>
        <v>6.1375999999999999</v>
      </c>
      <c r="D128" s="8">
        <f>CHOOSE( CONTROL!$C$33, 6.162, 6.1609) * CHOOSE( CONTROL!$C$16, $D$11, 100%, $F$11)</f>
        <v>6.1619999999999999</v>
      </c>
      <c r="E128" s="12">
        <f>CHOOSE( CONTROL!$C$33, 6.1534, 6.1524) * CHOOSE( CONTROL!$C$16, $D$11, 100%, $F$11)</f>
        <v>6.1534000000000004</v>
      </c>
      <c r="F128" s="4">
        <f>CHOOSE( CONTROL!$C$33, 6.8621, 6.861) * CHOOSE(CONTROL!$C$16, $D$11, 100%, $F$11)</f>
        <v>6.8620999999999999</v>
      </c>
      <c r="G128" s="8">
        <f>CHOOSE( CONTROL!$C$33, 6.0915, 6.0904) * CHOOSE( CONTROL!$C$16, $D$11, 100%, $F$11)</f>
        <v>6.0914999999999999</v>
      </c>
      <c r="H128" s="4">
        <f>CHOOSE( CONTROL!$C$33, 7.0283, 7.0273) * CHOOSE(CONTROL!$C$16, $D$11, 100%, $F$11)</f>
        <v>7.0282999999999998</v>
      </c>
      <c r="I128" s="8">
        <f>CHOOSE( CONTROL!$C$33, 6.0701, 6.0691) * CHOOSE(CONTROL!$C$16, $D$11, 100%, $F$11)</f>
        <v>6.0701000000000001</v>
      </c>
      <c r="J128" s="4">
        <f>CHOOSE( CONTROL!$C$33, 5.9427, 5.9417) * CHOOSE(CONTROL!$C$16, $D$11, 100%, $F$11)</f>
        <v>5.9427000000000003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1.2509999999999999</v>
      </c>
      <c r="Q128" s="9">
        <v>31.571999999999999</v>
      </c>
      <c r="R128" s="9"/>
      <c r="S128" s="11"/>
    </row>
    <row r="129" spans="1:19" ht="15.75">
      <c r="A129" s="13">
        <v>45047</v>
      </c>
      <c r="B129" s="8">
        <f>CHOOSE( CONTROL!$C$33, 6.2982, 6.2966) * CHOOSE(CONTROL!$C$16, $D$11, 100%, $F$11)</f>
        <v>6.2981999999999996</v>
      </c>
      <c r="C129" s="8">
        <f>CHOOSE( CONTROL!$C$33, 6.3062, 6.3045) * CHOOSE(CONTROL!$C$16, $D$11, 100%, $F$11)</f>
        <v>6.3061999999999996</v>
      </c>
      <c r="D129" s="8">
        <f>CHOOSE( CONTROL!$C$33, 6.3245, 6.3228) * CHOOSE( CONTROL!$C$16, $D$11, 100%, $F$11)</f>
        <v>6.3244999999999996</v>
      </c>
      <c r="E129" s="12">
        <f>CHOOSE( CONTROL!$C$33, 6.3166, 6.315) * CHOOSE( CONTROL!$C$16, $D$11, 100%, $F$11)</f>
        <v>6.3166000000000002</v>
      </c>
      <c r="F129" s="4">
        <f>CHOOSE( CONTROL!$C$33, 7.0258, 7.0241) * CHOOSE(CONTROL!$C$16, $D$11, 100%, $F$11)</f>
        <v>7.0258000000000003</v>
      </c>
      <c r="G129" s="8">
        <f>CHOOSE( CONTROL!$C$33, 6.2532, 6.2515) * CHOOSE( CONTROL!$C$16, $D$11, 100%, $F$11)</f>
        <v>6.2531999999999996</v>
      </c>
      <c r="H129" s="4">
        <f>CHOOSE( CONTROL!$C$33, 7.1901, 7.1885) * CHOOSE(CONTROL!$C$16, $D$11, 100%, $F$11)</f>
        <v>7.1901000000000002</v>
      </c>
      <c r="I129" s="8">
        <f>CHOOSE( CONTROL!$C$33, 6.2285, 6.2269) * CHOOSE(CONTROL!$C$16, $D$11, 100%, $F$11)</f>
        <v>6.2285000000000004</v>
      </c>
      <c r="J129" s="4">
        <f>CHOOSE( CONTROL!$C$33, 6.1016, 6.1) * CHOOSE(CONTROL!$C$16, $D$11, 100%, $F$11)</f>
        <v>6.1016000000000004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1.2927</v>
      </c>
      <c r="Q129" s="9">
        <v>32.624400000000001</v>
      </c>
      <c r="R129" s="9"/>
      <c r="S129" s="11"/>
    </row>
    <row r="130" spans="1:19" ht="15.75">
      <c r="A130" s="13">
        <v>45078</v>
      </c>
      <c r="B130" s="8">
        <f>CHOOSE( CONTROL!$C$33, 6.1972, 6.1955) * CHOOSE(CONTROL!$C$16, $D$11, 100%, $F$11)</f>
        <v>6.1971999999999996</v>
      </c>
      <c r="C130" s="8">
        <f>CHOOSE( CONTROL!$C$33, 6.2051, 6.2035) * CHOOSE(CONTROL!$C$16, $D$11, 100%, $F$11)</f>
        <v>6.2050999999999998</v>
      </c>
      <c r="D130" s="8">
        <f>CHOOSE( CONTROL!$C$33, 6.2237, 6.222) * CHOOSE( CONTROL!$C$16, $D$11, 100%, $F$11)</f>
        <v>6.2237</v>
      </c>
      <c r="E130" s="12">
        <f>CHOOSE( CONTROL!$C$33, 6.2158, 6.2141) * CHOOSE( CONTROL!$C$16, $D$11, 100%, $F$11)</f>
        <v>6.2157999999999998</v>
      </c>
      <c r="F130" s="4">
        <f>CHOOSE( CONTROL!$C$33, 6.9247, 6.923) * CHOOSE(CONTROL!$C$16, $D$11, 100%, $F$11)</f>
        <v>6.9246999999999996</v>
      </c>
      <c r="G130" s="8">
        <f>CHOOSE( CONTROL!$C$33, 6.1535, 6.1518) * CHOOSE( CONTROL!$C$16, $D$11, 100%, $F$11)</f>
        <v>6.1535000000000002</v>
      </c>
      <c r="H130" s="4">
        <f>CHOOSE( CONTROL!$C$33, 7.0903, 7.0886) * CHOOSE(CONTROL!$C$16, $D$11, 100%, $F$11)</f>
        <v>7.0903</v>
      </c>
      <c r="I130" s="8">
        <f>CHOOSE( CONTROL!$C$33, 6.1312, 6.1296) * CHOOSE(CONTROL!$C$16, $D$11, 100%, $F$11)</f>
        <v>6.1311999999999998</v>
      </c>
      <c r="J130" s="4">
        <f>CHOOSE( CONTROL!$C$33, 6.0035, 6.0019) * CHOOSE(CONTROL!$C$16, $D$11, 100%, $F$11)</f>
        <v>6.0034999999999998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1.2509999999999999</v>
      </c>
      <c r="Q130" s="9">
        <v>31.571999999999999</v>
      </c>
      <c r="R130" s="9"/>
      <c r="S130" s="11"/>
    </row>
    <row r="131" spans="1:19" ht="15.75">
      <c r="A131" s="13">
        <v>45108</v>
      </c>
      <c r="B131" s="8">
        <f>CHOOSE( CONTROL!$C$33, 6.4633, 6.4616) * CHOOSE(CONTROL!$C$16, $D$11, 100%, $F$11)</f>
        <v>6.4633000000000003</v>
      </c>
      <c r="C131" s="8">
        <f>CHOOSE( CONTROL!$C$33, 6.4712, 6.4696) * CHOOSE(CONTROL!$C$16, $D$11, 100%, $F$11)</f>
        <v>6.4711999999999996</v>
      </c>
      <c r="D131" s="8">
        <f>CHOOSE( CONTROL!$C$33, 6.49, 6.4884) * CHOOSE( CONTROL!$C$16, $D$11, 100%, $F$11)</f>
        <v>6.49</v>
      </c>
      <c r="E131" s="12">
        <f>CHOOSE( CONTROL!$C$33, 6.482, 6.4804) * CHOOSE( CONTROL!$C$16, $D$11, 100%, $F$11)</f>
        <v>6.4820000000000002</v>
      </c>
      <c r="F131" s="4">
        <f>CHOOSE( CONTROL!$C$33, 7.1908, 7.1892) * CHOOSE(CONTROL!$C$16, $D$11, 100%, $F$11)</f>
        <v>7.1908000000000003</v>
      </c>
      <c r="G131" s="8">
        <f>CHOOSE( CONTROL!$C$33, 6.4167, 6.415) * CHOOSE( CONTROL!$C$16, $D$11, 100%, $F$11)</f>
        <v>6.4166999999999996</v>
      </c>
      <c r="H131" s="4">
        <f>CHOOSE( CONTROL!$C$33, 7.3533, 7.3516) * CHOOSE(CONTROL!$C$16, $D$11, 100%, $F$11)</f>
        <v>7.3532999999999999</v>
      </c>
      <c r="I131" s="8">
        <f>CHOOSE( CONTROL!$C$33, 6.3905, 6.3889) * CHOOSE(CONTROL!$C$16, $D$11, 100%, $F$11)</f>
        <v>6.3905000000000003</v>
      </c>
      <c r="J131" s="4">
        <f>CHOOSE( CONTROL!$C$33, 6.2618, 6.2602) * CHOOSE(CONTROL!$C$16, $D$11, 100%, $F$11)</f>
        <v>6.2618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1.2927</v>
      </c>
      <c r="Q131" s="9">
        <v>32.624400000000001</v>
      </c>
      <c r="R131" s="9"/>
      <c r="S131" s="11"/>
    </row>
    <row r="132" spans="1:19" ht="15.75">
      <c r="A132" s="13">
        <v>45139</v>
      </c>
      <c r="B132" s="8">
        <f>CHOOSE( CONTROL!$C$33, 5.9653, 5.9637) * CHOOSE(CONTROL!$C$16, $D$11, 100%, $F$11)</f>
        <v>5.9653</v>
      </c>
      <c r="C132" s="8">
        <f>CHOOSE( CONTROL!$C$33, 5.9733, 5.9717) * CHOOSE(CONTROL!$C$16, $D$11, 100%, $F$11)</f>
        <v>5.9733000000000001</v>
      </c>
      <c r="D132" s="8">
        <f>CHOOSE( CONTROL!$C$33, 5.9922, 5.9905) * CHOOSE( CONTROL!$C$16, $D$11, 100%, $F$11)</f>
        <v>5.9922000000000004</v>
      </c>
      <c r="E132" s="12">
        <f>CHOOSE( CONTROL!$C$33, 5.9841, 5.9825) * CHOOSE( CONTROL!$C$16, $D$11, 100%, $F$11)</f>
        <v>5.9840999999999998</v>
      </c>
      <c r="F132" s="4">
        <f>CHOOSE( CONTROL!$C$33, 6.6929, 6.6912) * CHOOSE(CONTROL!$C$16, $D$11, 100%, $F$11)</f>
        <v>6.6928999999999998</v>
      </c>
      <c r="G132" s="8">
        <f>CHOOSE( CONTROL!$C$33, 5.9246, 5.923) * CHOOSE( CONTROL!$C$16, $D$11, 100%, $F$11)</f>
        <v>5.9245999999999999</v>
      </c>
      <c r="H132" s="4">
        <f>CHOOSE( CONTROL!$C$33, 6.8612, 6.8595) * CHOOSE(CONTROL!$C$16, $D$11, 100%, $F$11)</f>
        <v>6.8612000000000002</v>
      </c>
      <c r="I132" s="8">
        <f>CHOOSE( CONTROL!$C$33, 5.9072, 5.9056) * CHOOSE(CONTROL!$C$16, $D$11, 100%, $F$11)</f>
        <v>5.9071999999999996</v>
      </c>
      <c r="J132" s="4">
        <f>CHOOSE( CONTROL!$C$33, 5.7785, 5.7769) * CHOOSE(CONTROL!$C$16, $D$11, 100%, $F$11)</f>
        <v>5.7785000000000002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1.2927</v>
      </c>
      <c r="Q132" s="9">
        <v>32.624400000000001</v>
      </c>
      <c r="R132" s="9"/>
      <c r="S132" s="11"/>
    </row>
    <row r="133" spans="1:19" ht="15.75">
      <c r="A133" s="13">
        <v>45170</v>
      </c>
      <c r="B133" s="8">
        <f>CHOOSE( CONTROL!$C$33, 5.8407, 5.839) * CHOOSE(CONTROL!$C$16, $D$11, 100%, $F$11)</f>
        <v>5.8407</v>
      </c>
      <c r="C133" s="8">
        <f>CHOOSE( CONTROL!$C$33, 5.8486, 5.847) * CHOOSE(CONTROL!$C$16, $D$11, 100%, $F$11)</f>
        <v>5.8486000000000002</v>
      </c>
      <c r="D133" s="8">
        <f>CHOOSE( CONTROL!$C$33, 5.8674, 5.8657) * CHOOSE( CONTROL!$C$16, $D$11, 100%, $F$11)</f>
        <v>5.8673999999999999</v>
      </c>
      <c r="E133" s="12">
        <f>CHOOSE( CONTROL!$C$33, 5.8594, 5.8577) * CHOOSE( CONTROL!$C$16, $D$11, 100%, $F$11)</f>
        <v>5.8593999999999999</v>
      </c>
      <c r="F133" s="4">
        <f>CHOOSE( CONTROL!$C$33, 6.5682, 6.5665) * CHOOSE(CONTROL!$C$16, $D$11, 100%, $F$11)</f>
        <v>6.5682</v>
      </c>
      <c r="G133" s="8">
        <f>CHOOSE( CONTROL!$C$33, 5.8013, 5.7997) * CHOOSE( CONTROL!$C$16, $D$11, 100%, $F$11)</f>
        <v>5.8013000000000003</v>
      </c>
      <c r="H133" s="4">
        <f>CHOOSE( CONTROL!$C$33, 6.7379, 6.7363) * CHOOSE(CONTROL!$C$16, $D$11, 100%, $F$11)</f>
        <v>6.7378999999999998</v>
      </c>
      <c r="I133" s="8">
        <f>CHOOSE( CONTROL!$C$33, 5.7858, 5.7842) * CHOOSE(CONTROL!$C$16, $D$11, 100%, $F$11)</f>
        <v>5.7858000000000001</v>
      </c>
      <c r="J133" s="4">
        <f>CHOOSE( CONTROL!$C$33, 5.6575, 5.6559) * CHOOSE(CONTROL!$C$16, $D$11, 100%, $F$11)</f>
        <v>5.6574999999999998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1.2509999999999999</v>
      </c>
      <c r="Q133" s="9">
        <v>31.571999999999999</v>
      </c>
      <c r="R133" s="9"/>
      <c r="S133" s="11"/>
    </row>
    <row r="134" spans="1:19" ht="15.75">
      <c r="A134" s="13">
        <v>45200</v>
      </c>
      <c r="B134" s="8">
        <f>CHOOSE( CONTROL!$C$33, 6.0972, 6.0962) * CHOOSE(CONTROL!$C$16, $D$11, 100%, $F$11)</f>
        <v>6.0972</v>
      </c>
      <c r="C134" s="8">
        <f>CHOOSE( CONTROL!$C$33, 6.1026, 6.1015) * CHOOSE(CONTROL!$C$16, $D$11, 100%, $F$11)</f>
        <v>6.1025999999999998</v>
      </c>
      <c r="D134" s="8">
        <f>CHOOSE( CONTROL!$C$33, 6.127, 6.1259) * CHOOSE( CONTROL!$C$16, $D$11, 100%, $F$11)</f>
        <v>6.1269999999999998</v>
      </c>
      <c r="E134" s="12">
        <f>CHOOSE( CONTROL!$C$33, 6.1184, 6.1173) * CHOOSE( CONTROL!$C$16, $D$11, 100%, $F$11)</f>
        <v>6.1184000000000003</v>
      </c>
      <c r="F134" s="4">
        <f>CHOOSE( CONTROL!$C$33, 6.8265, 6.8254) * CHOOSE(CONTROL!$C$16, $D$11, 100%, $F$11)</f>
        <v>6.8265000000000002</v>
      </c>
      <c r="G134" s="8">
        <f>CHOOSE( CONTROL!$C$33, 6.0568, 6.0557) * CHOOSE( CONTROL!$C$16, $D$11, 100%, $F$11)</f>
        <v>6.0568</v>
      </c>
      <c r="H134" s="4">
        <f>CHOOSE( CONTROL!$C$33, 6.9932, 6.9922) * CHOOSE(CONTROL!$C$16, $D$11, 100%, $F$11)</f>
        <v>6.9931999999999999</v>
      </c>
      <c r="I134" s="8">
        <f>CHOOSE( CONTROL!$C$33, 6.0375, 6.0365) * CHOOSE(CONTROL!$C$16, $D$11, 100%, $F$11)</f>
        <v>6.0374999999999996</v>
      </c>
      <c r="J134" s="4">
        <f>CHOOSE( CONTROL!$C$33, 5.9082, 5.9072) * CHOOSE(CONTROL!$C$16, $D$11, 100%, $F$11)</f>
        <v>5.9081999999999999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1.2927</v>
      </c>
      <c r="Q134" s="9">
        <v>32.624400000000001</v>
      </c>
      <c r="R134" s="9"/>
      <c r="S134" s="11"/>
    </row>
    <row r="135" spans="1:19" ht="15.75">
      <c r="A135" s="13">
        <v>45231</v>
      </c>
      <c r="B135" s="8">
        <f>CHOOSE( CONTROL!$C$33, 6.5747, 6.5736) * CHOOSE(CONTROL!$C$16, $D$11, 100%, $F$11)</f>
        <v>6.5747</v>
      </c>
      <c r="C135" s="8">
        <f>CHOOSE( CONTROL!$C$33, 6.5798, 6.5787) * CHOOSE(CONTROL!$C$16, $D$11, 100%, $F$11)</f>
        <v>6.5797999999999996</v>
      </c>
      <c r="D135" s="8">
        <f>CHOOSE( CONTROL!$C$33, 6.5702, 6.5691) * CHOOSE( CONTROL!$C$16, $D$11, 100%, $F$11)</f>
        <v>6.5701999999999998</v>
      </c>
      <c r="E135" s="12">
        <f>CHOOSE( CONTROL!$C$33, 6.5732, 6.5721) * CHOOSE( CONTROL!$C$16, $D$11, 100%, $F$11)</f>
        <v>6.5731999999999999</v>
      </c>
      <c r="F135" s="4">
        <f>CHOOSE( CONTROL!$C$33, 7.2348, 7.2338) * CHOOSE(CONTROL!$C$16, $D$11, 100%, $F$11)</f>
        <v>7.2347999999999999</v>
      </c>
      <c r="G135" s="8">
        <f>CHOOSE( CONTROL!$C$33, 6.5156, 6.5146) * CHOOSE( CONTROL!$C$16, $D$11, 100%, $F$11)</f>
        <v>6.5156000000000001</v>
      </c>
      <c r="H135" s="4">
        <f>CHOOSE( CONTROL!$C$33, 7.3968, 7.3957) * CHOOSE(CONTROL!$C$16, $D$11, 100%, $F$11)</f>
        <v>7.3967999999999998</v>
      </c>
      <c r="I135" s="8">
        <f>CHOOSE( CONTROL!$C$33, 6.5609, 6.5598) * CHOOSE(CONTROL!$C$16, $D$11, 100%, $F$11)</f>
        <v>6.5609000000000002</v>
      </c>
      <c r="J135" s="4">
        <f>CHOOSE( CONTROL!$C$33, 6.372, 6.3709) * CHOOSE(CONTROL!$C$16, $D$11, 100%, $F$11)</f>
        <v>6.3719999999999999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31.571999999999999</v>
      </c>
      <c r="R135" s="9"/>
      <c r="S135" s="11"/>
    </row>
    <row r="136" spans="1:19" ht="15.75">
      <c r="A136" s="13">
        <v>45261</v>
      </c>
      <c r="B136" s="8">
        <f>CHOOSE( CONTROL!$C$33, 6.5628, 6.5617) * CHOOSE(CONTROL!$C$16, $D$11, 100%, $F$11)</f>
        <v>6.5628000000000002</v>
      </c>
      <c r="C136" s="8">
        <f>CHOOSE( CONTROL!$C$33, 6.5678, 6.5668) * CHOOSE(CONTROL!$C$16, $D$11, 100%, $F$11)</f>
        <v>6.5678000000000001</v>
      </c>
      <c r="D136" s="8">
        <f>CHOOSE( CONTROL!$C$33, 6.5597, 6.5586) * CHOOSE( CONTROL!$C$16, $D$11, 100%, $F$11)</f>
        <v>6.5597000000000003</v>
      </c>
      <c r="E136" s="12">
        <f>CHOOSE( CONTROL!$C$33, 6.5621, 6.5611) * CHOOSE( CONTROL!$C$16, $D$11, 100%, $F$11)</f>
        <v>6.5621</v>
      </c>
      <c r="F136" s="4">
        <f>CHOOSE( CONTROL!$C$33, 7.2229, 7.2218) * CHOOSE(CONTROL!$C$16, $D$11, 100%, $F$11)</f>
        <v>7.2229000000000001</v>
      </c>
      <c r="G136" s="8">
        <f>CHOOSE( CONTROL!$C$33, 6.5048, 6.5038) * CHOOSE( CONTROL!$C$16, $D$11, 100%, $F$11)</f>
        <v>6.5048000000000004</v>
      </c>
      <c r="H136" s="4">
        <f>CHOOSE( CONTROL!$C$33, 7.385, 7.3839) * CHOOSE(CONTROL!$C$16, $D$11, 100%, $F$11)</f>
        <v>7.3849999999999998</v>
      </c>
      <c r="I136" s="8">
        <f>CHOOSE( CONTROL!$C$33, 6.5537, 6.5527) * CHOOSE(CONTROL!$C$16, $D$11, 100%, $F$11)</f>
        <v>6.5537000000000001</v>
      </c>
      <c r="J136" s="4">
        <f>CHOOSE( CONTROL!$C$33, 6.3604, 6.3594) * CHOOSE(CONTROL!$C$16, $D$11, 100%, $F$11)</f>
        <v>6.3604000000000003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32.624400000000001</v>
      </c>
      <c r="R136" s="9"/>
      <c r="S136" s="11"/>
    </row>
    <row r="137" spans="1:19" ht="15.75">
      <c r="A137" s="13">
        <v>45292</v>
      </c>
      <c r="B137" s="8">
        <f>CHOOSE( CONTROL!$C$33, 6.8155, 6.8145) * CHOOSE(CONTROL!$C$16, $D$11, 100%, $F$11)</f>
        <v>6.8155000000000001</v>
      </c>
      <c r="C137" s="8">
        <f>CHOOSE( CONTROL!$C$33, 6.8206, 6.8195) * CHOOSE(CONTROL!$C$16, $D$11, 100%, $F$11)</f>
        <v>6.8205999999999998</v>
      </c>
      <c r="D137" s="8">
        <f>CHOOSE( CONTROL!$C$33, 6.8233, 6.8222) * CHOOSE( CONTROL!$C$16, $D$11, 100%, $F$11)</f>
        <v>6.8232999999999997</v>
      </c>
      <c r="E137" s="12">
        <f>CHOOSE( CONTROL!$C$33, 6.8218, 6.8207) * CHOOSE( CONTROL!$C$16, $D$11, 100%, $F$11)</f>
        <v>6.8217999999999996</v>
      </c>
      <c r="F137" s="4">
        <f>CHOOSE( CONTROL!$C$33, 7.4757, 7.4746) * CHOOSE(CONTROL!$C$16, $D$11, 100%, $F$11)</f>
        <v>7.4756999999999998</v>
      </c>
      <c r="G137" s="8">
        <f>CHOOSE( CONTROL!$C$33, 6.7575, 6.7564) * CHOOSE( CONTROL!$C$16, $D$11, 100%, $F$11)</f>
        <v>6.7575000000000003</v>
      </c>
      <c r="H137" s="4">
        <f>CHOOSE( CONTROL!$C$33, 7.6348, 7.6337) * CHOOSE(CONTROL!$C$16, $D$11, 100%, $F$11)</f>
        <v>7.6348000000000003</v>
      </c>
      <c r="I137" s="8">
        <f>CHOOSE( CONTROL!$C$33, 6.7706, 6.7696) * CHOOSE(CONTROL!$C$16, $D$11, 100%, $F$11)</f>
        <v>6.7706</v>
      </c>
      <c r="J137" s="4">
        <f>CHOOSE( CONTROL!$C$33, 6.6057, 6.6047) * CHOOSE(CONTROL!$C$16, $D$11, 100%, $F$11)</f>
        <v>6.6056999999999997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32.440300000000001</v>
      </c>
      <c r="R137" s="9"/>
      <c r="S137" s="11"/>
    </row>
    <row r="138" spans="1:19" ht="15.75">
      <c r="A138" s="13">
        <v>45323</v>
      </c>
      <c r="B138" s="8">
        <f>CHOOSE( CONTROL!$C$33, 6.3756, 6.3745) * CHOOSE(CONTROL!$C$16, $D$11, 100%, $F$11)</f>
        <v>6.3756000000000004</v>
      </c>
      <c r="C138" s="8">
        <f>CHOOSE( CONTROL!$C$33, 6.3807, 6.3796) * CHOOSE(CONTROL!$C$16, $D$11, 100%, $F$11)</f>
        <v>6.3807</v>
      </c>
      <c r="D138" s="8">
        <f>CHOOSE( CONTROL!$C$33, 6.3832, 6.3821) * CHOOSE( CONTROL!$C$16, $D$11, 100%, $F$11)</f>
        <v>6.3832000000000004</v>
      </c>
      <c r="E138" s="12">
        <f>CHOOSE( CONTROL!$C$33, 6.3817, 6.3806) * CHOOSE( CONTROL!$C$16, $D$11, 100%, $F$11)</f>
        <v>6.3817000000000004</v>
      </c>
      <c r="F138" s="4">
        <f>CHOOSE( CONTROL!$C$33, 7.0357, 7.0346) * CHOOSE(CONTROL!$C$16, $D$11, 100%, $F$11)</f>
        <v>7.0357000000000003</v>
      </c>
      <c r="G138" s="8">
        <f>CHOOSE( CONTROL!$C$33, 6.3226, 6.3216) * CHOOSE( CONTROL!$C$16, $D$11, 100%, $F$11)</f>
        <v>6.3226000000000004</v>
      </c>
      <c r="H138" s="4">
        <f>CHOOSE( CONTROL!$C$33, 7.2, 7.1989) * CHOOSE(CONTROL!$C$16, $D$11, 100%, $F$11)</f>
        <v>7.2</v>
      </c>
      <c r="I138" s="8">
        <f>CHOOSE( CONTROL!$C$33, 6.3432, 6.3421) * CHOOSE(CONTROL!$C$16, $D$11, 100%, $F$11)</f>
        <v>6.3432000000000004</v>
      </c>
      <c r="J138" s="4">
        <f>CHOOSE( CONTROL!$C$33, 6.1787, 6.1777) * CHOOSE(CONTROL!$C$16, $D$11, 100%, $F$11)</f>
        <v>6.1787000000000001</v>
      </c>
      <c r="K138" s="4"/>
      <c r="L138" s="9">
        <v>27.415299999999998</v>
      </c>
      <c r="M138" s="9">
        <v>11.285299999999999</v>
      </c>
      <c r="N138" s="9">
        <v>4.6254999999999997</v>
      </c>
      <c r="O138" s="9">
        <v>0.34989999999999999</v>
      </c>
      <c r="P138" s="9">
        <v>1.2093</v>
      </c>
      <c r="Q138" s="9">
        <v>30.347300000000001</v>
      </c>
      <c r="R138" s="9"/>
      <c r="S138" s="11"/>
    </row>
    <row r="139" spans="1:19" ht="15.75">
      <c r="A139" s="13">
        <v>45352</v>
      </c>
      <c r="B139" s="8">
        <f>CHOOSE( CONTROL!$C$33, 6.2401, 6.239) * CHOOSE(CONTROL!$C$16, $D$11, 100%, $F$11)</f>
        <v>6.2401</v>
      </c>
      <c r="C139" s="8">
        <f>CHOOSE( CONTROL!$C$33, 6.2451, 6.2441) * CHOOSE(CONTROL!$C$16, $D$11, 100%, $F$11)</f>
        <v>6.2450999999999999</v>
      </c>
      <c r="D139" s="8">
        <f>CHOOSE( CONTROL!$C$33, 6.247, 6.2459) * CHOOSE( CONTROL!$C$16, $D$11, 100%, $F$11)</f>
        <v>6.2469999999999999</v>
      </c>
      <c r="E139" s="12">
        <f>CHOOSE( CONTROL!$C$33, 6.2458, 6.2447) * CHOOSE( CONTROL!$C$16, $D$11, 100%, $F$11)</f>
        <v>6.2458</v>
      </c>
      <c r="F139" s="4">
        <f>CHOOSE( CONTROL!$C$33, 6.9002, 6.8991) * CHOOSE(CONTROL!$C$16, $D$11, 100%, $F$11)</f>
        <v>6.9001999999999999</v>
      </c>
      <c r="G139" s="8">
        <f>CHOOSE( CONTROL!$C$33, 6.1882, 6.1871) * CHOOSE( CONTROL!$C$16, $D$11, 100%, $F$11)</f>
        <v>6.1882000000000001</v>
      </c>
      <c r="H139" s="4">
        <f>CHOOSE( CONTROL!$C$33, 7.066, 7.065) * CHOOSE(CONTROL!$C$16, $D$11, 100%, $F$11)</f>
        <v>7.0659999999999998</v>
      </c>
      <c r="I139" s="8">
        <f>CHOOSE( CONTROL!$C$33, 6.2095, 6.2084) * CHOOSE(CONTROL!$C$16, $D$11, 100%, $F$11)</f>
        <v>6.2095000000000002</v>
      </c>
      <c r="J139" s="4">
        <f>CHOOSE( CONTROL!$C$33, 6.0472, 6.0462) * CHOOSE(CONTROL!$C$16, $D$11, 100%, $F$11)</f>
        <v>6.0472000000000001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32.440300000000001</v>
      </c>
      <c r="R139" s="9"/>
      <c r="S139" s="11"/>
    </row>
    <row r="140" spans="1:19" ht="15.75">
      <c r="A140" s="13">
        <v>45383</v>
      </c>
      <c r="B140" s="8">
        <f>CHOOSE( CONTROL!$C$33, 6.3355, 6.3344) * CHOOSE(CONTROL!$C$16, $D$11, 100%, $F$11)</f>
        <v>6.3354999999999997</v>
      </c>
      <c r="C140" s="8">
        <f>CHOOSE( CONTROL!$C$33, 6.34, 6.3389) * CHOOSE(CONTROL!$C$16, $D$11, 100%, $F$11)</f>
        <v>6.34</v>
      </c>
      <c r="D140" s="8">
        <f>CHOOSE( CONTROL!$C$33, 6.3644, 6.3633) * CHOOSE( CONTROL!$C$16, $D$11, 100%, $F$11)</f>
        <v>6.3643999999999998</v>
      </c>
      <c r="E140" s="12">
        <f>CHOOSE( CONTROL!$C$33, 6.3558, 6.3547) * CHOOSE( CONTROL!$C$16, $D$11, 100%, $F$11)</f>
        <v>6.3558000000000003</v>
      </c>
      <c r="F140" s="4">
        <f>CHOOSE( CONTROL!$C$33, 7.0644, 7.0634) * CHOOSE(CONTROL!$C$16, $D$11, 100%, $F$11)</f>
        <v>7.0644</v>
      </c>
      <c r="G140" s="8">
        <f>CHOOSE( CONTROL!$C$33, 6.2915, 6.2904) * CHOOSE( CONTROL!$C$16, $D$11, 100%, $F$11)</f>
        <v>6.2915000000000001</v>
      </c>
      <c r="H140" s="4">
        <f>CHOOSE( CONTROL!$C$33, 7.2284, 7.2273) * CHOOSE(CONTROL!$C$16, $D$11, 100%, $F$11)</f>
        <v>7.2283999999999997</v>
      </c>
      <c r="I140" s="8">
        <f>CHOOSE( CONTROL!$C$33, 6.2667, 6.2656) * CHOOSE(CONTROL!$C$16, $D$11, 100%, $F$11)</f>
        <v>6.2667000000000002</v>
      </c>
      <c r="J140" s="4">
        <f>CHOOSE( CONTROL!$C$33, 6.1391, 6.1381) * CHOOSE(CONTROL!$C$16, $D$11, 100%, $F$11)</f>
        <v>6.1391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1.2509999999999999</v>
      </c>
      <c r="Q140" s="9">
        <v>31.393799999999999</v>
      </c>
      <c r="R140" s="9"/>
      <c r="S140" s="11"/>
    </row>
    <row r="141" spans="1:19" ht="15.75">
      <c r="A141" s="13">
        <v>45413</v>
      </c>
      <c r="B141" s="8">
        <f>CHOOSE( CONTROL!$C$33, 6.506, 6.5043) * CHOOSE(CONTROL!$C$16, $D$11, 100%, $F$11)</f>
        <v>6.5060000000000002</v>
      </c>
      <c r="C141" s="8">
        <f>CHOOSE( CONTROL!$C$33, 6.514, 6.5123) * CHOOSE(CONTROL!$C$16, $D$11, 100%, $F$11)</f>
        <v>6.5140000000000002</v>
      </c>
      <c r="D141" s="8">
        <f>CHOOSE( CONTROL!$C$33, 6.5323, 6.5306) * CHOOSE( CONTROL!$C$16, $D$11, 100%, $F$11)</f>
        <v>6.5323000000000002</v>
      </c>
      <c r="E141" s="12">
        <f>CHOOSE( CONTROL!$C$33, 6.5244, 6.5227) * CHOOSE( CONTROL!$C$16, $D$11, 100%, $F$11)</f>
        <v>6.5244</v>
      </c>
      <c r="F141" s="4">
        <f>CHOOSE( CONTROL!$C$33, 7.2335, 7.2319) * CHOOSE(CONTROL!$C$16, $D$11, 100%, $F$11)</f>
        <v>7.2335000000000003</v>
      </c>
      <c r="G141" s="8">
        <f>CHOOSE( CONTROL!$C$33, 6.4585, 6.4569) * CHOOSE( CONTROL!$C$16, $D$11, 100%, $F$11)</f>
        <v>6.4584999999999999</v>
      </c>
      <c r="H141" s="4">
        <f>CHOOSE( CONTROL!$C$33, 7.3955, 7.3938) * CHOOSE(CONTROL!$C$16, $D$11, 100%, $F$11)</f>
        <v>7.3955000000000002</v>
      </c>
      <c r="I141" s="8">
        <f>CHOOSE( CONTROL!$C$33, 6.4302, 6.4286) * CHOOSE(CONTROL!$C$16, $D$11, 100%, $F$11)</f>
        <v>6.4302000000000001</v>
      </c>
      <c r="J141" s="4">
        <f>CHOOSE( CONTROL!$C$33, 6.3032, 6.3016) * CHOOSE(CONTROL!$C$16, $D$11, 100%, $F$11)</f>
        <v>6.3032000000000004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1.2927</v>
      </c>
      <c r="Q141" s="9">
        <v>32.440300000000001</v>
      </c>
      <c r="R141" s="9"/>
      <c r="S141" s="11"/>
    </row>
    <row r="142" spans="1:19" ht="15.75">
      <c r="A142" s="13">
        <v>45444</v>
      </c>
      <c r="B142" s="8">
        <f>CHOOSE( CONTROL!$C$33, 6.4016, 6.3999) * CHOOSE(CONTROL!$C$16, $D$11, 100%, $F$11)</f>
        <v>6.4016000000000002</v>
      </c>
      <c r="C142" s="8">
        <f>CHOOSE( CONTROL!$C$33, 6.4096, 6.4079) * CHOOSE(CONTROL!$C$16, $D$11, 100%, $F$11)</f>
        <v>6.4096000000000002</v>
      </c>
      <c r="D142" s="8">
        <f>CHOOSE( CONTROL!$C$33, 6.4281, 6.4265) * CHOOSE( CONTROL!$C$16, $D$11, 100%, $F$11)</f>
        <v>6.4280999999999997</v>
      </c>
      <c r="E142" s="12">
        <f>CHOOSE( CONTROL!$C$33, 6.4202, 6.4185) * CHOOSE( CONTROL!$C$16, $D$11, 100%, $F$11)</f>
        <v>6.4202000000000004</v>
      </c>
      <c r="F142" s="4">
        <f>CHOOSE( CONTROL!$C$33, 7.1291, 7.1275) * CHOOSE(CONTROL!$C$16, $D$11, 100%, $F$11)</f>
        <v>7.1291000000000002</v>
      </c>
      <c r="G142" s="8">
        <f>CHOOSE( CONTROL!$C$33, 6.3555, 6.3539) * CHOOSE( CONTROL!$C$16, $D$11, 100%, $F$11)</f>
        <v>6.3555000000000001</v>
      </c>
      <c r="H142" s="4">
        <f>CHOOSE( CONTROL!$C$33, 7.2923, 7.2907) * CHOOSE(CONTROL!$C$16, $D$11, 100%, $F$11)</f>
        <v>7.2923</v>
      </c>
      <c r="I142" s="8">
        <f>CHOOSE( CONTROL!$C$33, 6.3297, 6.3281) * CHOOSE(CONTROL!$C$16, $D$11, 100%, $F$11)</f>
        <v>6.3296999999999999</v>
      </c>
      <c r="J142" s="4">
        <f>CHOOSE( CONTROL!$C$33, 6.2019, 6.2003) * CHOOSE(CONTROL!$C$16, $D$11, 100%, $F$11)</f>
        <v>6.2019000000000002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1.2509999999999999</v>
      </c>
      <c r="Q142" s="9">
        <v>31.393799999999999</v>
      </c>
      <c r="R142" s="9"/>
      <c r="S142" s="11"/>
    </row>
    <row r="143" spans="1:19" ht="15.75">
      <c r="A143" s="13">
        <v>45474</v>
      </c>
      <c r="B143" s="8">
        <f>CHOOSE( CONTROL!$C$33, 6.6765, 6.6748) * CHOOSE(CONTROL!$C$16, $D$11, 100%, $F$11)</f>
        <v>6.6764999999999999</v>
      </c>
      <c r="C143" s="8">
        <f>CHOOSE( CONTROL!$C$33, 6.6845, 6.6828) * CHOOSE(CONTROL!$C$16, $D$11, 100%, $F$11)</f>
        <v>6.6844999999999999</v>
      </c>
      <c r="D143" s="8">
        <f>CHOOSE( CONTROL!$C$33, 6.7033, 6.7016) * CHOOSE( CONTROL!$C$16, $D$11, 100%, $F$11)</f>
        <v>6.7032999999999996</v>
      </c>
      <c r="E143" s="12">
        <f>CHOOSE( CONTROL!$C$33, 6.6953, 6.6936) * CHOOSE( CONTROL!$C$16, $D$11, 100%, $F$11)</f>
        <v>6.6952999999999996</v>
      </c>
      <c r="F143" s="4">
        <f>CHOOSE( CONTROL!$C$33, 7.4041, 7.4024) * CHOOSE(CONTROL!$C$16, $D$11, 100%, $F$11)</f>
        <v>7.4040999999999997</v>
      </c>
      <c r="G143" s="8">
        <f>CHOOSE( CONTROL!$C$33, 6.6274, 6.6258) * CHOOSE( CONTROL!$C$16, $D$11, 100%, $F$11)</f>
        <v>6.6273999999999997</v>
      </c>
      <c r="H143" s="4">
        <f>CHOOSE( CONTROL!$C$33, 7.564, 7.5624) * CHOOSE(CONTROL!$C$16, $D$11, 100%, $F$11)</f>
        <v>7.5640000000000001</v>
      </c>
      <c r="I143" s="8">
        <f>CHOOSE( CONTROL!$C$33, 6.5975, 6.5959) * CHOOSE(CONTROL!$C$16, $D$11, 100%, $F$11)</f>
        <v>6.5975000000000001</v>
      </c>
      <c r="J143" s="4">
        <f>CHOOSE( CONTROL!$C$33, 6.4687, 6.4671) * CHOOSE(CONTROL!$C$16, $D$11, 100%, $F$11)</f>
        <v>6.4687000000000001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1.2927</v>
      </c>
      <c r="Q143" s="9">
        <v>32.440300000000001</v>
      </c>
      <c r="R143" s="9"/>
      <c r="S143" s="11"/>
    </row>
    <row r="144" spans="1:19" ht="15.75">
      <c r="A144" s="13">
        <v>45505</v>
      </c>
      <c r="B144" s="8">
        <f>CHOOSE( CONTROL!$C$33, 6.1621, 6.1605) * CHOOSE(CONTROL!$C$16, $D$11, 100%, $F$11)</f>
        <v>6.1620999999999997</v>
      </c>
      <c r="C144" s="8">
        <f>CHOOSE( CONTROL!$C$33, 6.1701, 6.1684) * CHOOSE(CONTROL!$C$16, $D$11, 100%, $F$11)</f>
        <v>6.1700999999999997</v>
      </c>
      <c r="D144" s="8">
        <f>CHOOSE( CONTROL!$C$33, 6.189, 6.1873) * CHOOSE( CONTROL!$C$16, $D$11, 100%, $F$11)</f>
        <v>6.1890000000000001</v>
      </c>
      <c r="E144" s="12">
        <f>CHOOSE( CONTROL!$C$33, 6.1809, 6.1792) * CHOOSE( CONTROL!$C$16, $D$11, 100%, $F$11)</f>
        <v>6.1809000000000003</v>
      </c>
      <c r="F144" s="4">
        <f>CHOOSE( CONTROL!$C$33, 6.8897, 6.888) * CHOOSE(CONTROL!$C$16, $D$11, 100%, $F$11)</f>
        <v>6.8897000000000004</v>
      </c>
      <c r="G144" s="8">
        <f>CHOOSE( CONTROL!$C$33, 6.1191, 6.1175) * CHOOSE( CONTROL!$C$16, $D$11, 100%, $F$11)</f>
        <v>6.1191000000000004</v>
      </c>
      <c r="H144" s="4">
        <f>CHOOSE( CONTROL!$C$33, 7.0556, 7.054) * CHOOSE(CONTROL!$C$16, $D$11, 100%, $F$11)</f>
        <v>7.0556000000000001</v>
      </c>
      <c r="I144" s="8">
        <f>CHOOSE( CONTROL!$C$33, 6.0983, 6.0967) * CHOOSE(CONTROL!$C$16, $D$11, 100%, $F$11)</f>
        <v>6.0983000000000001</v>
      </c>
      <c r="J144" s="4">
        <f>CHOOSE( CONTROL!$C$33, 5.9695, 5.9679) * CHOOSE(CONTROL!$C$16, $D$11, 100%, $F$11)</f>
        <v>5.9695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1.2927</v>
      </c>
      <c r="Q144" s="9">
        <v>32.440300000000001</v>
      </c>
      <c r="R144" s="9"/>
      <c r="S144" s="11"/>
    </row>
    <row r="145" spans="1:19" ht="15.75">
      <c r="A145" s="13">
        <v>45536</v>
      </c>
      <c r="B145" s="8">
        <f>CHOOSE( CONTROL!$C$33, 6.0333, 6.0317) * CHOOSE(CONTROL!$C$16, $D$11, 100%, $F$11)</f>
        <v>6.0332999999999997</v>
      </c>
      <c r="C145" s="8">
        <f>CHOOSE( CONTROL!$C$33, 6.0413, 6.0396) * CHOOSE(CONTROL!$C$16, $D$11, 100%, $F$11)</f>
        <v>6.0412999999999997</v>
      </c>
      <c r="D145" s="8">
        <f>CHOOSE( CONTROL!$C$33, 6.06, 6.0584) * CHOOSE( CONTROL!$C$16, $D$11, 100%, $F$11)</f>
        <v>6.06</v>
      </c>
      <c r="E145" s="12">
        <f>CHOOSE( CONTROL!$C$33, 6.052, 6.0504) * CHOOSE( CONTROL!$C$16, $D$11, 100%, $F$11)</f>
        <v>6.0519999999999996</v>
      </c>
      <c r="F145" s="4">
        <f>CHOOSE( CONTROL!$C$33, 6.7609, 6.7592) * CHOOSE(CONTROL!$C$16, $D$11, 100%, $F$11)</f>
        <v>6.7609000000000004</v>
      </c>
      <c r="G145" s="8">
        <f>CHOOSE( CONTROL!$C$33, 5.9917, 5.9901) * CHOOSE( CONTROL!$C$16, $D$11, 100%, $F$11)</f>
        <v>5.9916999999999998</v>
      </c>
      <c r="H145" s="4">
        <f>CHOOSE( CONTROL!$C$33, 6.9283, 6.9267) * CHOOSE(CONTROL!$C$16, $D$11, 100%, $F$11)</f>
        <v>6.9283000000000001</v>
      </c>
      <c r="I145" s="8">
        <f>CHOOSE( CONTROL!$C$33, 5.9729, 5.9713) * CHOOSE(CONTROL!$C$16, $D$11, 100%, $F$11)</f>
        <v>5.9729000000000001</v>
      </c>
      <c r="J145" s="4">
        <f>CHOOSE( CONTROL!$C$33, 5.8445, 5.8429) * CHOOSE(CONTROL!$C$16, $D$11, 100%, $F$11)</f>
        <v>5.8445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1.2509999999999999</v>
      </c>
      <c r="Q145" s="9">
        <v>31.393799999999999</v>
      </c>
      <c r="R145" s="9"/>
      <c r="S145" s="11"/>
    </row>
    <row r="146" spans="1:19" ht="15.75">
      <c r="A146" s="13">
        <v>45566</v>
      </c>
      <c r="B146" s="8">
        <f>CHOOSE( CONTROL!$C$33, 6.2985, 6.2974) * CHOOSE(CONTROL!$C$16, $D$11, 100%, $F$11)</f>
        <v>6.2984999999999998</v>
      </c>
      <c r="C146" s="8">
        <f>CHOOSE( CONTROL!$C$33, 6.3038, 6.3027) * CHOOSE(CONTROL!$C$16, $D$11, 100%, $F$11)</f>
        <v>6.3037999999999998</v>
      </c>
      <c r="D146" s="8">
        <f>CHOOSE( CONTROL!$C$33, 6.3282, 6.3271) * CHOOSE( CONTROL!$C$16, $D$11, 100%, $F$11)</f>
        <v>6.3281999999999998</v>
      </c>
      <c r="E146" s="12">
        <f>CHOOSE( CONTROL!$C$33, 6.3196, 6.3185) * CHOOSE( CONTROL!$C$16, $D$11, 100%, $F$11)</f>
        <v>6.3196000000000003</v>
      </c>
      <c r="F146" s="4">
        <f>CHOOSE( CONTROL!$C$33, 7.0277, 7.0267) * CHOOSE(CONTROL!$C$16, $D$11, 100%, $F$11)</f>
        <v>7.0277000000000003</v>
      </c>
      <c r="G146" s="8">
        <f>CHOOSE( CONTROL!$C$33, 6.2557, 6.2546) * CHOOSE( CONTROL!$C$16, $D$11, 100%, $F$11)</f>
        <v>6.2557</v>
      </c>
      <c r="H146" s="4">
        <f>CHOOSE( CONTROL!$C$33, 7.1921, 7.191) * CHOOSE(CONTROL!$C$16, $D$11, 100%, $F$11)</f>
        <v>7.1920999999999999</v>
      </c>
      <c r="I146" s="8">
        <f>CHOOSE( CONTROL!$C$33, 6.2329, 6.2318) * CHOOSE(CONTROL!$C$16, $D$11, 100%, $F$11)</f>
        <v>6.2328999999999999</v>
      </c>
      <c r="J146" s="4">
        <f>CHOOSE( CONTROL!$C$33, 6.1035, 6.1025) * CHOOSE(CONTROL!$C$16, $D$11, 100%, $F$11)</f>
        <v>6.1035000000000004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1.2927</v>
      </c>
      <c r="Q146" s="9">
        <v>32.440300000000001</v>
      </c>
      <c r="R146" s="9"/>
      <c r="S146" s="11"/>
    </row>
    <row r="147" spans="1:19" ht="15.75">
      <c r="A147" s="13">
        <v>45597</v>
      </c>
      <c r="B147" s="8">
        <f>CHOOSE( CONTROL!$C$33, 6.7917, 6.7906) * CHOOSE(CONTROL!$C$16, $D$11, 100%, $F$11)</f>
        <v>6.7916999999999996</v>
      </c>
      <c r="C147" s="8">
        <f>CHOOSE( CONTROL!$C$33, 6.7968, 6.7957) * CHOOSE(CONTROL!$C$16, $D$11, 100%, $F$11)</f>
        <v>6.7968000000000002</v>
      </c>
      <c r="D147" s="8">
        <f>CHOOSE( CONTROL!$C$33, 6.7872, 6.7861) * CHOOSE( CONTROL!$C$16, $D$11, 100%, $F$11)</f>
        <v>6.7872000000000003</v>
      </c>
      <c r="E147" s="12">
        <f>CHOOSE( CONTROL!$C$33, 6.7902, 6.7891) * CHOOSE( CONTROL!$C$16, $D$11, 100%, $F$11)</f>
        <v>6.7901999999999996</v>
      </c>
      <c r="F147" s="4">
        <f>CHOOSE( CONTROL!$C$33, 7.4518, 7.4508) * CHOOSE(CONTROL!$C$16, $D$11, 100%, $F$11)</f>
        <v>7.4518000000000004</v>
      </c>
      <c r="G147" s="8">
        <f>CHOOSE( CONTROL!$C$33, 6.7301, 6.729) * CHOOSE( CONTROL!$C$16, $D$11, 100%, $F$11)</f>
        <v>6.7301000000000002</v>
      </c>
      <c r="H147" s="4">
        <f>CHOOSE( CONTROL!$C$33, 7.6112, 7.6102) * CHOOSE(CONTROL!$C$16, $D$11, 100%, $F$11)</f>
        <v>7.6112000000000002</v>
      </c>
      <c r="I147" s="8">
        <f>CHOOSE( CONTROL!$C$33, 6.7716, 6.7705) * CHOOSE(CONTROL!$C$16, $D$11, 100%, $F$11)</f>
        <v>6.7716000000000003</v>
      </c>
      <c r="J147" s="4">
        <f>CHOOSE( CONTROL!$C$33, 6.5826, 6.5816) * CHOOSE(CONTROL!$C$16, $D$11, 100%, $F$11)</f>
        <v>6.5826000000000002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31.393799999999999</v>
      </c>
      <c r="R147" s="9"/>
      <c r="S147" s="11"/>
    </row>
    <row r="148" spans="1:19" ht="15.75">
      <c r="A148" s="13">
        <v>45627</v>
      </c>
      <c r="B148" s="8">
        <f>CHOOSE( CONTROL!$C$33, 6.7794, 6.7783) * CHOOSE(CONTROL!$C$16, $D$11, 100%, $F$11)</f>
        <v>6.7793999999999999</v>
      </c>
      <c r="C148" s="8">
        <f>CHOOSE( CONTROL!$C$33, 6.7845, 6.7834) * CHOOSE(CONTROL!$C$16, $D$11, 100%, $F$11)</f>
        <v>6.7845000000000004</v>
      </c>
      <c r="D148" s="8">
        <f>CHOOSE( CONTROL!$C$33, 6.7763, 6.7752) * CHOOSE( CONTROL!$C$16, $D$11, 100%, $F$11)</f>
        <v>6.7763</v>
      </c>
      <c r="E148" s="12">
        <f>CHOOSE( CONTROL!$C$33, 6.7788, 6.7777) * CHOOSE( CONTROL!$C$16, $D$11, 100%, $F$11)</f>
        <v>6.7788000000000004</v>
      </c>
      <c r="F148" s="4">
        <f>CHOOSE( CONTROL!$C$33, 7.4395, 7.4384) * CHOOSE(CONTROL!$C$16, $D$11, 100%, $F$11)</f>
        <v>7.4394999999999998</v>
      </c>
      <c r="G148" s="8">
        <f>CHOOSE( CONTROL!$C$33, 6.7189, 6.7179) * CHOOSE( CONTROL!$C$16, $D$11, 100%, $F$11)</f>
        <v>6.7188999999999997</v>
      </c>
      <c r="H148" s="4">
        <f>CHOOSE( CONTROL!$C$33, 7.599, 7.598) * CHOOSE(CONTROL!$C$16, $D$11, 100%, $F$11)</f>
        <v>7.5990000000000002</v>
      </c>
      <c r="I148" s="8">
        <f>CHOOSE( CONTROL!$C$33, 6.764, 6.763) * CHOOSE(CONTROL!$C$16, $D$11, 100%, $F$11)</f>
        <v>6.7640000000000002</v>
      </c>
      <c r="J148" s="4">
        <f>CHOOSE( CONTROL!$C$33, 6.5706, 6.5696) * CHOOSE(CONTROL!$C$16, $D$11, 100%, $F$11)</f>
        <v>6.5705999999999998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32.440300000000001</v>
      </c>
      <c r="R148" s="9"/>
      <c r="S148" s="11"/>
    </row>
    <row r="149" spans="1:19" ht="15.75">
      <c r="A149" s="13">
        <v>45658</v>
      </c>
      <c r="B149" s="8">
        <f>CHOOSE( CONTROL!$C$33, 6.9789, 6.9778) * CHOOSE(CONTROL!$C$16, $D$11, 100%, $F$11)</f>
        <v>6.9789000000000003</v>
      </c>
      <c r="C149" s="8">
        <f>CHOOSE( CONTROL!$C$33, 6.9839, 6.9829) * CHOOSE(CONTROL!$C$16, $D$11, 100%, $F$11)</f>
        <v>6.9839000000000002</v>
      </c>
      <c r="D149" s="8">
        <f>CHOOSE( CONTROL!$C$33, 6.9866, 6.9855) * CHOOSE( CONTROL!$C$16, $D$11, 100%, $F$11)</f>
        <v>6.9866000000000001</v>
      </c>
      <c r="E149" s="12">
        <f>CHOOSE( CONTROL!$C$33, 6.9851, 6.984) * CHOOSE( CONTROL!$C$16, $D$11, 100%, $F$11)</f>
        <v>6.9851000000000001</v>
      </c>
      <c r="F149" s="4">
        <f>CHOOSE( CONTROL!$C$33, 7.639, 7.6379) * CHOOSE(CONTROL!$C$16, $D$11, 100%, $F$11)</f>
        <v>7.6390000000000002</v>
      </c>
      <c r="G149" s="8">
        <f>CHOOSE( CONTROL!$C$33, 6.9189, 6.9178) * CHOOSE( CONTROL!$C$16, $D$11, 100%, $F$11)</f>
        <v>6.9188999999999998</v>
      </c>
      <c r="H149" s="4">
        <f>CHOOSE( CONTROL!$C$33, 7.7962, 7.7951) * CHOOSE(CONTROL!$C$16, $D$11, 100%, $F$11)</f>
        <v>7.7961999999999998</v>
      </c>
      <c r="I149" s="8">
        <f>CHOOSE( CONTROL!$C$33, 6.9292, 6.9282) * CHOOSE(CONTROL!$C$16, $D$11, 100%, $F$11)</f>
        <v>6.9291999999999998</v>
      </c>
      <c r="J149" s="4">
        <f>CHOOSE( CONTROL!$C$33, 6.7642, 6.7632) * CHOOSE(CONTROL!$C$16, $D$11, 100%, $F$11)</f>
        <v>6.7641999999999998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32.254300000000001</v>
      </c>
      <c r="R149" s="9"/>
      <c r="S149" s="11"/>
    </row>
    <row r="150" spans="1:19" ht="15.75">
      <c r="A150" s="13">
        <v>45689</v>
      </c>
      <c r="B150" s="8">
        <f>CHOOSE( CONTROL!$C$33, 6.5284, 6.5273) * CHOOSE(CONTROL!$C$16, $D$11, 100%, $F$11)</f>
        <v>6.5284000000000004</v>
      </c>
      <c r="C150" s="8">
        <f>CHOOSE( CONTROL!$C$33, 6.5334, 6.5323) * CHOOSE(CONTROL!$C$16, $D$11, 100%, $F$11)</f>
        <v>6.5334000000000003</v>
      </c>
      <c r="D150" s="8">
        <f>CHOOSE( CONTROL!$C$33, 6.536, 6.5349) * CHOOSE( CONTROL!$C$16, $D$11, 100%, $F$11)</f>
        <v>6.5359999999999996</v>
      </c>
      <c r="E150" s="12">
        <f>CHOOSE( CONTROL!$C$33, 6.5345, 6.5334) * CHOOSE( CONTROL!$C$16, $D$11, 100%, $F$11)</f>
        <v>6.5345000000000004</v>
      </c>
      <c r="F150" s="4">
        <f>CHOOSE( CONTROL!$C$33, 7.1885, 7.1874) * CHOOSE(CONTROL!$C$16, $D$11, 100%, $F$11)</f>
        <v>7.1885000000000003</v>
      </c>
      <c r="G150" s="8">
        <f>CHOOSE( CONTROL!$C$33, 6.4736, 6.4725) * CHOOSE( CONTROL!$C$16, $D$11, 100%, $F$11)</f>
        <v>6.4736000000000002</v>
      </c>
      <c r="H150" s="4">
        <f>CHOOSE( CONTROL!$C$33, 7.3509, 7.3499) * CHOOSE(CONTROL!$C$16, $D$11, 100%, $F$11)</f>
        <v>7.3509000000000002</v>
      </c>
      <c r="I150" s="8">
        <f>CHOOSE( CONTROL!$C$33, 6.4915, 6.4905) * CHOOSE(CONTROL!$C$16, $D$11, 100%, $F$11)</f>
        <v>6.4915000000000003</v>
      </c>
      <c r="J150" s="4">
        <f>CHOOSE( CONTROL!$C$33, 6.327, 6.326) * CHOOSE(CONTROL!$C$16, $D$11, 100%, $F$11)</f>
        <v>6.327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29.132899999999999</v>
      </c>
      <c r="R150" s="9"/>
      <c r="S150" s="11"/>
    </row>
    <row r="151" spans="1:19" ht="15.75">
      <c r="A151" s="13">
        <v>45717</v>
      </c>
      <c r="B151" s="8">
        <f>CHOOSE( CONTROL!$C$33, 6.3896, 6.3885) * CHOOSE(CONTROL!$C$16, $D$11, 100%, $F$11)</f>
        <v>6.3895999999999997</v>
      </c>
      <c r="C151" s="8">
        <f>CHOOSE( CONTROL!$C$33, 6.3947, 6.3936) * CHOOSE(CONTROL!$C$16, $D$11, 100%, $F$11)</f>
        <v>6.3947000000000003</v>
      </c>
      <c r="D151" s="8">
        <f>CHOOSE( CONTROL!$C$33, 6.3965, 6.3955) * CHOOSE( CONTROL!$C$16, $D$11, 100%, $F$11)</f>
        <v>6.3964999999999996</v>
      </c>
      <c r="E151" s="12">
        <f>CHOOSE( CONTROL!$C$33, 6.3953, 6.3943) * CHOOSE( CONTROL!$C$16, $D$11, 100%, $F$11)</f>
        <v>6.3952999999999998</v>
      </c>
      <c r="F151" s="4">
        <f>CHOOSE( CONTROL!$C$33, 7.0497, 7.0486) * CHOOSE(CONTROL!$C$16, $D$11, 100%, $F$11)</f>
        <v>7.0496999999999996</v>
      </c>
      <c r="G151" s="8">
        <f>CHOOSE( CONTROL!$C$33, 6.336, 6.3349) * CHOOSE( CONTROL!$C$16, $D$11, 100%, $F$11)</f>
        <v>6.3360000000000003</v>
      </c>
      <c r="H151" s="4">
        <f>CHOOSE( CONTROL!$C$33, 7.2138, 7.2127) * CHOOSE(CONTROL!$C$16, $D$11, 100%, $F$11)</f>
        <v>7.2138</v>
      </c>
      <c r="I151" s="8">
        <f>CHOOSE( CONTROL!$C$33, 6.3546, 6.3536) * CHOOSE(CONTROL!$C$16, $D$11, 100%, $F$11)</f>
        <v>6.3545999999999996</v>
      </c>
      <c r="J151" s="4">
        <f>CHOOSE( CONTROL!$C$33, 6.1923, 6.1913) * CHOOSE(CONTROL!$C$16, $D$11, 100%, $F$11)</f>
        <v>6.1923000000000004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32.254300000000001</v>
      </c>
      <c r="R151" s="9"/>
      <c r="S151" s="11"/>
    </row>
    <row r="152" spans="1:19" ht="15.75">
      <c r="A152" s="13">
        <v>45748</v>
      </c>
      <c r="B152" s="8">
        <f>CHOOSE( CONTROL!$C$33, 6.4873, 6.4862) * CHOOSE(CONTROL!$C$16, $D$11, 100%, $F$11)</f>
        <v>6.4873000000000003</v>
      </c>
      <c r="C152" s="8">
        <f>CHOOSE( CONTROL!$C$33, 6.4918, 6.4907) * CHOOSE(CONTROL!$C$16, $D$11, 100%, $F$11)</f>
        <v>6.4917999999999996</v>
      </c>
      <c r="D152" s="8">
        <f>CHOOSE( CONTROL!$C$33, 6.5162, 6.5151) * CHOOSE( CONTROL!$C$16, $D$11, 100%, $F$11)</f>
        <v>6.5162000000000004</v>
      </c>
      <c r="E152" s="12">
        <f>CHOOSE( CONTROL!$C$33, 6.5076, 6.5065) * CHOOSE( CONTROL!$C$16, $D$11, 100%, $F$11)</f>
        <v>6.5076000000000001</v>
      </c>
      <c r="F152" s="4">
        <f>CHOOSE( CONTROL!$C$33, 7.2162, 7.2152) * CHOOSE(CONTROL!$C$16, $D$11, 100%, $F$11)</f>
        <v>7.2161999999999997</v>
      </c>
      <c r="G152" s="8">
        <f>CHOOSE( CONTROL!$C$33, 6.4415, 6.4404) * CHOOSE( CONTROL!$C$16, $D$11, 100%, $F$11)</f>
        <v>6.4414999999999996</v>
      </c>
      <c r="H152" s="4">
        <f>CHOOSE( CONTROL!$C$33, 7.3784, 7.3773) * CHOOSE(CONTROL!$C$16, $D$11, 100%, $F$11)</f>
        <v>7.3784000000000001</v>
      </c>
      <c r="I152" s="8">
        <f>CHOOSE( CONTROL!$C$33, 6.414, 6.413) * CHOOSE(CONTROL!$C$16, $D$11, 100%, $F$11)</f>
        <v>6.4139999999999997</v>
      </c>
      <c r="J152" s="4">
        <f>CHOOSE( CONTROL!$C$33, 6.2864, 6.2854) * CHOOSE(CONTROL!$C$16, $D$11, 100%, $F$11)</f>
        <v>6.2864000000000004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1.2509999999999999</v>
      </c>
      <c r="Q152" s="9">
        <v>31.213799999999999</v>
      </c>
      <c r="R152" s="9"/>
      <c r="S152" s="11"/>
    </row>
    <row r="153" spans="1:19" ht="15.75">
      <c r="A153" s="13">
        <v>45778</v>
      </c>
      <c r="B153" s="8">
        <f>CHOOSE( CONTROL!$C$33, 6.6618, 6.6602) * CHOOSE(CONTROL!$C$16, $D$11, 100%, $F$11)</f>
        <v>6.6618000000000004</v>
      </c>
      <c r="C153" s="8">
        <f>CHOOSE( CONTROL!$C$33, 6.6698, 6.6681) * CHOOSE(CONTROL!$C$16, $D$11, 100%, $F$11)</f>
        <v>6.6698000000000004</v>
      </c>
      <c r="D153" s="8">
        <f>CHOOSE( CONTROL!$C$33, 6.6881, 6.6864) * CHOOSE( CONTROL!$C$16, $D$11, 100%, $F$11)</f>
        <v>6.6881000000000004</v>
      </c>
      <c r="E153" s="12">
        <f>CHOOSE( CONTROL!$C$33, 6.6802, 6.6786) * CHOOSE( CONTROL!$C$16, $D$11, 100%, $F$11)</f>
        <v>6.6802000000000001</v>
      </c>
      <c r="F153" s="4">
        <f>CHOOSE( CONTROL!$C$33, 7.3894, 7.3877) * CHOOSE(CONTROL!$C$16, $D$11, 100%, $F$11)</f>
        <v>7.3894000000000002</v>
      </c>
      <c r="G153" s="8">
        <f>CHOOSE( CONTROL!$C$33, 6.6125, 6.6109) * CHOOSE( CONTROL!$C$16, $D$11, 100%, $F$11)</f>
        <v>6.6124999999999998</v>
      </c>
      <c r="H153" s="4">
        <f>CHOOSE( CONTROL!$C$33, 7.5495, 7.5478) * CHOOSE(CONTROL!$C$16, $D$11, 100%, $F$11)</f>
        <v>7.5495000000000001</v>
      </c>
      <c r="I153" s="8">
        <f>CHOOSE( CONTROL!$C$33, 6.5816, 6.58) * CHOOSE(CONTROL!$C$16, $D$11, 100%, $F$11)</f>
        <v>6.5815999999999999</v>
      </c>
      <c r="J153" s="4">
        <f>CHOOSE( CONTROL!$C$33, 6.4545, 6.4529) * CHOOSE(CONTROL!$C$16, $D$11, 100%, $F$11)</f>
        <v>6.4545000000000003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1.2927</v>
      </c>
      <c r="Q153" s="9">
        <v>32.254300000000001</v>
      </c>
      <c r="R153" s="9"/>
      <c r="S153" s="11"/>
    </row>
    <row r="154" spans="1:19" ht="15.75">
      <c r="A154" s="13">
        <v>45809</v>
      </c>
      <c r="B154" s="8">
        <f>CHOOSE( CONTROL!$C$33, 6.5549, 6.5533) * CHOOSE(CONTROL!$C$16, $D$11, 100%, $F$11)</f>
        <v>6.5548999999999999</v>
      </c>
      <c r="C154" s="8">
        <f>CHOOSE( CONTROL!$C$33, 6.5629, 6.5612) * CHOOSE(CONTROL!$C$16, $D$11, 100%, $F$11)</f>
        <v>6.5629</v>
      </c>
      <c r="D154" s="8">
        <f>CHOOSE( CONTROL!$C$33, 6.5814, 6.5798) * CHOOSE( CONTROL!$C$16, $D$11, 100%, $F$11)</f>
        <v>6.5814000000000004</v>
      </c>
      <c r="E154" s="12">
        <f>CHOOSE( CONTROL!$C$33, 6.5735, 6.5719) * CHOOSE( CONTROL!$C$16, $D$11, 100%, $F$11)</f>
        <v>6.5735000000000001</v>
      </c>
      <c r="F154" s="4">
        <f>CHOOSE( CONTROL!$C$33, 7.2825, 7.2808) * CHOOSE(CONTROL!$C$16, $D$11, 100%, $F$11)</f>
        <v>7.2824999999999998</v>
      </c>
      <c r="G154" s="8">
        <f>CHOOSE( CONTROL!$C$33, 6.5071, 6.5054) * CHOOSE( CONTROL!$C$16, $D$11, 100%, $F$11)</f>
        <v>6.5071000000000003</v>
      </c>
      <c r="H154" s="4">
        <f>CHOOSE( CONTROL!$C$33, 7.4438, 7.4422) * CHOOSE(CONTROL!$C$16, $D$11, 100%, $F$11)</f>
        <v>7.4438000000000004</v>
      </c>
      <c r="I154" s="8">
        <f>CHOOSE( CONTROL!$C$33, 6.4786, 6.477) * CHOOSE(CONTROL!$C$16, $D$11, 100%, $F$11)</f>
        <v>6.4786000000000001</v>
      </c>
      <c r="J154" s="4">
        <f>CHOOSE( CONTROL!$C$33, 6.3507, 6.3491) * CHOOSE(CONTROL!$C$16, $D$11, 100%, $F$11)</f>
        <v>6.3506999999999998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1.2509999999999999</v>
      </c>
      <c r="Q154" s="9">
        <v>31.213799999999999</v>
      </c>
      <c r="R154" s="9"/>
      <c r="S154" s="11"/>
    </row>
    <row r="155" spans="1:19" ht="15.75">
      <c r="A155" s="13">
        <v>45839</v>
      </c>
      <c r="B155" s="8">
        <f>CHOOSE( CONTROL!$C$33, 6.8364, 6.8348) * CHOOSE(CONTROL!$C$16, $D$11, 100%, $F$11)</f>
        <v>6.8364000000000003</v>
      </c>
      <c r="C155" s="8">
        <f>CHOOSE( CONTROL!$C$33, 6.8444, 6.8428) * CHOOSE(CONTROL!$C$16, $D$11, 100%, $F$11)</f>
        <v>6.8444000000000003</v>
      </c>
      <c r="D155" s="8">
        <f>CHOOSE( CONTROL!$C$33, 6.8632, 6.8615) * CHOOSE( CONTROL!$C$16, $D$11, 100%, $F$11)</f>
        <v>6.8632</v>
      </c>
      <c r="E155" s="12">
        <f>CHOOSE( CONTROL!$C$33, 6.8552, 6.8535) * CHOOSE( CONTROL!$C$16, $D$11, 100%, $F$11)</f>
        <v>6.8552</v>
      </c>
      <c r="F155" s="4">
        <f>CHOOSE( CONTROL!$C$33, 7.564, 7.5623) * CHOOSE(CONTROL!$C$16, $D$11, 100%, $F$11)</f>
        <v>7.5640000000000001</v>
      </c>
      <c r="G155" s="8">
        <f>CHOOSE( CONTROL!$C$33, 6.7855, 6.7838) * CHOOSE( CONTROL!$C$16, $D$11, 100%, $F$11)</f>
        <v>6.7854999999999999</v>
      </c>
      <c r="H155" s="4">
        <f>CHOOSE( CONTROL!$C$33, 7.722, 7.7204) * CHOOSE(CONTROL!$C$16, $D$11, 100%, $F$11)</f>
        <v>7.7220000000000004</v>
      </c>
      <c r="I155" s="8">
        <f>CHOOSE( CONTROL!$C$33, 6.7528, 6.7512) * CHOOSE(CONTROL!$C$16, $D$11, 100%, $F$11)</f>
        <v>6.7527999999999997</v>
      </c>
      <c r="J155" s="4">
        <f>CHOOSE( CONTROL!$C$33, 6.6239, 6.6223) * CHOOSE(CONTROL!$C$16, $D$11, 100%, $F$11)</f>
        <v>6.6238999999999999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1.2927</v>
      </c>
      <c r="Q155" s="9">
        <v>32.254300000000001</v>
      </c>
      <c r="R155" s="9"/>
      <c r="S155" s="11"/>
    </row>
    <row r="156" spans="1:19" ht="15.75">
      <c r="A156" s="13">
        <v>45870</v>
      </c>
      <c r="B156" s="8">
        <f>CHOOSE( CONTROL!$C$33, 6.3097, 6.308) * CHOOSE(CONTROL!$C$16, $D$11, 100%, $F$11)</f>
        <v>6.3097000000000003</v>
      </c>
      <c r="C156" s="8">
        <f>CHOOSE( CONTROL!$C$33, 6.3177, 6.316) * CHOOSE(CONTROL!$C$16, $D$11, 100%, $F$11)</f>
        <v>6.3177000000000003</v>
      </c>
      <c r="D156" s="8">
        <f>CHOOSE( CONTROL!$C$33, 6.3365, 6.3349) * CHOOSE( CONTROL!$C$16, $D$11, 100%, $F$11)</f>
        <v>6.3365</v>
      </c>
      <c r="E156" s="12">
        <f>CHOOSE( CONTROL!$C$33, 6.3285, 6.3268) * CHOOSE( CONTROL!$C$16, $D$11, 100%, $F$11)</f>
        <v>6.3285</v>
      </c>
      <c r="F156" s="4">
        <f>CHOOSE( CONTROL!$C$33, 7.0373, 7.0356) * CHOOSE(CONTROL!$C$16, $D$11, 100%, $F$11)</f>
        <v>7.0373000000000001</v>
      </c>
      <c r="G156" s="8">
        <f>CHOOSE( CONTROL!$C$33, 6.265, 6.2633) * CHOOSE( CONTROL!$C$16, $D$11, 100%, $F$11)</f>
        <v>6.2649999999999997</v>
      </c>
      <c r="H156" s="4">
        <f>CHOOSE( CONTROL!$C$33, 7.2015, 7.1998) * CHOOSE(CONTROL!$C$16, $D$11, 100%, $F$11)</f>
        <v>7.2015000000000002</v>
      </c>
      <c r="I156" s="8">
        <f>CHOOSE( CONTROL!$C$33, 6.2416, 6.24) * CHOOSE(CONTROL!$C$16, $D$11, 100%, $F$11)</f>
        <v>6.2416</v>
      </c>
      <c r="J156" s="4">
        <f>CHOOSE( CONTROL!$C$33, 6.1127, 6.1111) * CHOOSE(CONTROL!$C$16, $D$11, 100%, $F$11)</f>
        <v>6.1127000000000002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1.2927</v>
      </c>
      <c r="Q156" s="9">
        <v>32.254300000000001</v>
      </c>
      <c r="R156" s="9"/>
      <c r="S156" s="11"/>
    </row>
    <row r="157" spans="1:19" ht="15.75">
      <c r="A157" s="13">
        <v>45901</v>
      </c>
      <c r="B157" s="8">
        <f>CHOOSE( CONTROL!$C$33, 6.1778, 6.1761) * CHOOSE(CONTROL!$C$16, $D$11, 100%, $F$11)</f>
        <v>6.1778000000000004</v>
      </c>
      <c r="C157" s="8">
        <f>CHOOSE( CONTROL!$C$33, 6.1858, 6.1841) * CHOOSE(CONTROL!$C$16, $D$11, 100%, $F$11)</f>
        <v>6.1858000000000004</v>
      </c>
      <c r="D157" s="8">
        <f>CHOOSE( CONTROL!$C$33, 6.2045, 6.2029) * CHOOSE( CONTROL!$C$16, $D$11, 100%, $F$11)</f>
        <v>6.2045000000000003</v>
      </c>
      <c r="E157" s="12">
        <f>CHOOSE( CONTROL!$C$33, 6.1965, 6.1949) * CHOOSE( CONTROL!$C$16, $D$11, 100%, $F$11)</f>
        <v>6.1965000000000003</v>
      </c>
      <c r="F157" s="4">
        <f>CHOOSE( CONTROL!$C$33, 6.9054, 6.9037) * CHOOSE(CONTROL!$C$16, $D$11, 100%, $F$11)</f>
        <v>6.9054000000000002</v>
      </c>
      <c r="G157" s="8">
        <f>CHOOSE( CONTROL!$C$33, 6.1345, 6.1329) * CHOOSE( CONTROL!$C$16, $D$11, 100%, $F$11)</f>
        <v>6.1345000000000001</v>
      </c>
      <c r="H157" s="4">
        <f>CHOOSE( CONTROL!$C$33, 7.0711, 7.0695) * CHOOSE(CONTROL!$C$16, $D$11, 100%, $F$11)</f>
        <v>7.0711000000000004</v>
      </c>
      <c r="I157" s="8">
        <f>CHOOSE( CONTROL!$C$33, 6.1132, 6.1116) * CHOOSE(CONTROL!$C$16, $D$11, 100%, $F$11)</f>
        <v>6.1132</v>
      </c>
      <c r="J157" s="4">
        <f>CHOOSE( CONTROL!$C$33, 5.9847, 5.9831) * CHOOSE(CONTROL!$C$16, $D$11, 100%, $F$11)</f>
        <v>5.9847000000000001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1.2509999999999999</v>
      </c>
      <c r="Q157" s="9">
        <v>31.213799999999999</v>
      </c>
      <c r="R157" s="9"/>
      <c r="S157" s="11"/>
    </row>
    <row r="158" spans="1:19" ht="15.75">
      <c r="A158" s="13">
        <v>45931</v>
      </c>
      <c r="B158" s="8">
        <f>CHOOSE( CONTROL!$C$33, 6.4494, 6.4483) * CHOOSE(CONTROL!$C$16, $D$11, 100%, $F$11)</f>
        <v>6.4493999999999998</v>
      </c>
      <c r="C158" s="8">
        <f>CHOOSE( CONTROL!$C$33, 6.4547, 6.4536) * CHOOSE(CONTROL!$C$16, $D$11, 100%, $F$11)</f>
        <v>6.4546999999999999</v>
      </c>
      <c r="D158" s="8">
        <f>CHOOSE( CONTROL!$C$33, 6.4791, 6.478) * CHOOSE( CONTROL!$C$16, $D$11, 100%, $F$11)</f>
        <v>6.4790999999999999</v>
      </c>
      <c r="E158" s="12">
        <f>CHOOSE( CONTROL!$C$33, 6.4705, 6.4694) * CHOOSE( CONTROL!$C$16, $D$11, 100%, $F$11)</f>
        <v>6.4705000000000004</v>
      </c>
      <c r="F158" s="4">
        <f>CHOOSE( CONTROL!$C$33, 7.1786, 7.1776) * CHOOSE(CONTROL!$C$16, $D$11, 100%, $F$11)</f>
        <v>7.1786000000000003</v>
      </c>
      <c r="G158" s="8">
        <f>CHOOSE( CONTROL!$C$33, 6.4048, 6.4037) * CHOOSE( CONTROL!$C$16, $D$11, 100%, $F$11)</f>
        <v>6.4047999999999998</v>
      </c>
      <c r="H158" s="4">
        <f>CHOOSE( CONTROL!$C$33, 7.3412, 7.3402) * CHOOSE(CONTROL!$C$16, $D$11, 100%, $F$11)</f>
        <v>7.3411999999999997</v>
      </c>
      <c r="I158" s="8">
        <f>CHOOSE( CONTROL!$C$33, 6.3794, 6.3784) * CHOOSE(CONTROL!$C$16, $D$11, 100%, $F$11)</f>
        <v>6.3794000000000004</v>
      </c>
      <c r="J158" s="4">
        <f>CHOOSE( CONTROL!$C$33, 6.25, 6.2489) * CHOOSE(CONTROL!$C$16, $D$11, 100%, $F$11)</f>
        <v>6.25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1.2927</v>
      </c>
      <c r="Q158" s="9">
        <v>32.254300000000001</v>
      </c>
      <c r="R158" s="9"/>
      <c r="S158" s="11"/>
    </row>
    <row r="159" spans="1:19" ht="15.75">
      <c r="A159" s="13">
        <v>45962</v>
      </c>
      <c r="B159" s="8">
        <f>CHOOSE( CONTROL!$C$33, 6.9545, 6.9534) * CHOOSE(CONTROL!$C$16, $D$11, 100%, $F$11)</f>
        <v>6.9545000000000003</v>
      </c>
      <c r="C159" s="8">
        <f>CHOOSE( CONTROL!$C$33, 6.9596, 6.9585) * CHOOSE(CONTROL!$C$16, $D$11, 100%, $F$11)</f>
        <v>6.9596</v>
      </c>
      <c r="D159" s="8">
        <f>CHOOSE( CONTROL!$C$33, 6.9499, 6.9489) * CHOOSE( CONTROL!$C$16, $D$11, 100%, $F$11)</f>
        <v>6.9499000000000004</v>
      </c>
      <c r="E159" s="12">
        <f>CHOOSE( CONTROL!$C$33, 6.9529, 6.9519) * CHOOSE( CONTROL!$C$16, $D$11, 100%, $F$11)</f>
        <v>6.9528999999999996</v>
      </c>
      <c r="F159" s="4">
        <f>CHOOSE( CONTROL!$C$33, 7.6146, 7.6135) * CHOOSE(CONTROL!$C$16, $D$11, 100%, $F$11)</f>
        <v>7.6146000000000003</v>
      </c>
      <c r="G159" s="8">
        <f>CHOOSE( CONTROL!$C$33, 6.8909, 6.8899) * CHOOSE( CONTROL!$C$16, $D$11, 100%, $F$11)</f>
        <v>6.8909000000000002</v>
      </c>
      <c r="H159" s="4">
        <f>CHOOSE( CONTROL!$C$33, 7.7721, 7.771) * CHOOSE(CONTROL!$C$16, $D$11, 100%, $F$11)</f>
        <v>7.7721</v>
      </c>
      <c r="I159" s="8">
        <f>CHOOSE( CONTROL!$C$33, 6.9296, 6.9286) * CHOOSE(CONTROL!$C$16, $D$11, 100%, $F$11)</f>
        <v>6.9295999999999998</v>
      </c>
      <c r="J159" s="4">
        <f>CHOOSE( CONTROL!$C$33, 6.7406, 6.7395) * CHOOSE(CONTROL!$C$16, $D$11, 100%, $F$11)</f>
        <v>6.7405999999999997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31.213799999999999</v>
      </c>
      <c r="R159" s="9"/>
      <c r="S159" s="11"/>
    </row>
    <row r="160" spans="1:19" ht="15.75">
      <c r="A160" s="13">
        <v>45992</v>
      </c>
      <c r="B160" s="8">
        <f>CHOOSE( CONTROL!$C$33, 6.9418, 6.9408) * CHOOSE(CONTROL!$C$16, $D$11, 100%, $F$11)</f>
        <v>6.9417999999999997</v>
      </c>
      <c r="C160" s="8">
        <f>CHOOSE( CONTROL!$C$33, 6.9469, 6.9458) * CHOOSE(CONTROL!$C$16, $D$11, 100%, $F$11)</f>
        <v>6.9469000000000003</v>
      </c>
      <c r="D160" s="8">
        <f>CHOOSE( CONTROL!$C$33, 6.9387, 6.9377) * CHOOSE( CONTROL!$C$16, $D$11, 100%, $F$11)</f>
        <v>6.9386999999999999</v>
      </c>
      <c r="E160" s="12">
        <f>CHOOSE( CONTROL!$C$33, 6.9412, 6.9401) * CHOOSE( CONTROL!$C$16, $D$11, 100%, $F$11)</f>
        <v>6.9412000000000003</v>
      </c>
      <c r="F160" s="4">
        <f>CHOOSE( CONTROL!$C$33, 7.602, 7.6009) * CHOOSE(CONTROL!$C$16, $D$11, 100%, $F$11)</f>
        <v>7.6020000000000003</v>
      </c>
      <c r="G160" s="8">
        <f>CHOOSE( CONTROL!$C$33, 6.8795, 6.8784) * CHOOSE( CONTROL!$C$16, $D$11, 100%, $F$11)</f>
        <v>6.8795000000000002</v>
      </c>
      <c r="H160" s="4">
        <f>CHOOSE( CONTROL!$C$33, 7.7596, 7.7585) * CHOOSE(CONTROL!$C$16, $D$11, 100%, $F$11)</f>
        <v>7.7595999999999998</v>
      </c>
      <c r="I160" s="8">
        <f>CHOOSE( CONTROL!$C$33, 6.9218, 6.9207) * CHOOSE(CONTROL!$C$16, $D$11, 100%, $F$11)</f>
        <v>6.9218000000000002</v>
      </c>
      <c r="J160" s="4">
        <f>CHOOSE( CONTROL!$C$33, 6.7283, 6.7273) * CHOOSE(CONTROL!$C$16, $D$11, 100%, $F$11)</f>
        <v>6.7282999999999999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32.254300000000001</v>
      </c>
      <c r="R160" s="9"/>
      <c r="S160" s="11"/>
    </row>
    <row r="161" spans="1:19" ht="15.75">
      <c r="A161" s="13">
        <v>46023</v>
      </c>
      <c r="B161" s="8">
        <f>CHOOSE( CONTROL!$C$33, 7.1966, 7.1956) * CHOOSE(CONTROL!$C$16, $D$11, 100%, $F$11)</f>
        <v>7.1966000000000001</v>
      </c>
      <c r="C161" s="8">
        <f>CHOOSE( CONTROL!$C$33, 7.2017, 7.2006) * CHOOSE(CONTROL!$C$16, $D$11, 100%, $F$11)</f>
        <v>7.2016999999999998</v>
      </c>
      <c r="D161" s="8">
        <f>CHOOSE( CONTROL!$C$33, 7.2044, 7.2033) * CHOOSE( CONTROL!$C$16, $D$11, 100%, $F$11)</f>
        <v>7.2043999999999997</v>
      </c>
      <c r="E161" s="12">
        <f>CHOOSE( CONTROL!$C$33, 7.2029, 7.2018) * CHOOSE( CONTROL!$C$16, $D$11, 100%, $F$11)</f>
        <v>7.2028999999999996</v>
      </c>
      <c r="F161" s="4">
        <f>CHOOSE( CONTROL!$C$33, 7.8568, 7.8557) * CHOOSE(CONTROL!$C$16, $D$11, 100%, $F$11)</f>
        <v>7.8567999999999998</v>
      </c>
      <c r="G161" s="8">
        <f>CHOOSE( CONTROL!$C$33, 7.1341, 7.1331) * CHOOSE( CONTROL!$C$16, $D$11, 100%, $F$11)</f>
        <v>7.1341000000000001</v>
      </c>
      <c r="H161" s="4">
        <f>CHOOSE( CONTROL!$C$33, 8.0114, 8.0103) * CHOOSE(CONTROL!$C$16, $D$11, 100%, $F$11)</f>
        <v>8.0114000000000001</v>
      </c>
      <c r="I161" s="8">
        <f>CHOOSE( CONTROL!$C$33, 7.1407, 7.1396) * CHOOSE(CONTROL!$C$16, $D$11, 100%, $F$11)</f>
        <v>7.1406999999999998</v>
      </c>
      <c r="J161" s="4">
        <f>CHOOSE( CONTROL!$C$33, 6.9756, 6.9745) * CHOOSE(CONTROL!$C$16, $D$11, 100%, $F$11)</f>
        <v>6.9756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32.070099999999996</v>
      </c>
      <c r="R161" s="9"/>
      <c r="S161" s="11"/>
    </row>
    <row r="162" spans="1:19" ht="15.75">
      <c r="A162" s="13">
        <v>46054</v>
      </c>
      <c r="B162" s="8">
        <f>CHOOSE( CONTROL!$C$33, 6.732, 6.731) * CHOOSE(CONTROL!$C$16, $D$11, 100%, $F$11)</f>
        <v>6.7320000000000002</v>
      </c>
      <c r="C162" s="8">
        <f>CHOOSE( CONTROL!$C$33, 6.7371, 6.736) * CHOOSE(CONTROL!$C$16, $D$11, 100%, $F$11)</f>
        <v>6.7370999999999999</v>
      </c>
      <c r="D162" s="8">
        <f>CHOOSE( CONTROL!$C$33, 6.7397, 6.7386) * CHOOSE( CONTROL!$C$16, $D$11, 100%, $F$11)</f>
        <v>6.7397</v>
      </c>
      <c r="E162" s="12">
        <f>CHOOSE( CONTROL!$C$33, 6.7382, 6.7371) * CHOOSE( CONTROL!$C$16, $D$11, 100%, $F$11)</f>
        <v>6.7382</v>
      </c>
      <c r="F162" s="4">
        <f>CHOOSE( CONTROL!$C$33, 7.3922, 7.3911) * CHOOSE(CONTROL!$C$16, $D$11, 100%, $F$11)</f>
        <v>7.3921999999999999</v>
      </c>
      <c r="G162" s="8">
        <f>CHOOSE( CONTROL!$C$33, 6.6749, 6.6738) * CHOOSE( CONTROL!$C$16, $D$11, 100%, $F$11)</f>
        <v>6.6749000000000001</v>
      </c>
      <c r="H162" s="4">
        <f>CHOOSE( CONTROL!$C$33, 7.5522, 7.5512) * CHOOSE(CONTROL!$C$16, $D$11, 100%, $F$11)</f>
        <v>7.5522</v>
      </c>
      <c r="I162" s="8">
        <f>CHOOSE( CONTROL!$C$33, 6.6893, 6.6882) * CHOOSE(CONTROL!$C$16, $D$11, 100%, $F$11)</f>
        <v>6.6893000000000002</v>
      </c>
      <c r="J162" s="4">
        <f>CHOOSE( CONTROL!$C$33, 6.5247, 6.5236) * CHOOSE(CONTROL!$C$16, $D$11, 100%, $F$11)</f>
        <v>6.5247000000000002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28.9666</v>
      </c>
      <c r="R162" s="9"/>
      <c r="S162" s="11"/>
    </row>
    <row r="163" spans="1:19" ht="15.75">
      <c r="A163" s="13">
        <v>46082</v>
      </c>
      <c r="B163" s="8">
        <f>CHOOSE( CONTROL!$C$33, 6.589, 6.5879) * CHOOSE(CONTROL!$C$16, $D$11, 100%, $F$11)</f>
        <v>6.5890000000000004</v>
      </c>
      <c r="C163" s="8">
        <f>CHOOSE( CONTROL!$C$33, 6.594, 6.5929) * CHOOSE(CONTROL!$C$16, $D$11, 100%, $F$11)</f>
        <v>6.5940000000000003</v>
      </c>
      <c r="D163" s="8">
        <f>CHOOSE( CONTROL!$C$33, 6.5959, 6.5948) * CHOOSE( CONTROL!$C$16, $D$11, 100%, $F$11)</f>
        <v>6.5959000000000003</v>
      </c>
      <c r="E163" s="12">
        <f>CHOOSE( CONTROL!$C$33, 6.5947, 6.5936) * CHOOSE( CONTROL!$C$16, $D$11, 100%, $F$11)</f>
        <v>6.5946999999999996</v>
      </c>
      <c r="F163" s="4">
        <f>CHOOSE( CONTROL!$C$33, 7.2491, 7.248) * CHOOSE(CONTROL!$C$16, $D$11, 100%, $F$11)</f>
        <v>7.2491000000000003</v>
      </c>
      <c r="G163" s="8">
        <f>CHOOSE( CONTROL!$C$33, 6.533, 6.5319) * CHOOSE( CONTROL!$C$16, $D$11, 100%, $F$11)</f>
        <v>6.5330000000000004</v>
      </c>
      <c r="H163" s="4">
        <f>CHOOSE( CONTROL!$C$33, 7.4108, 7.4098) * CHOOSE(CONTROL!$C$16, $D$11, 100%, $F$11)</f>
        <v>7.4108000000000001</v>
      </c>
      <c r="I163" s="8">
        <f>CHOOSE( CONTROL!$C$33, 6.5482, 6.5472) * CHOOSE(CONTROL!$C$16, $D$11, 100%, $F$11)</f>
        <v>6.5481999999999996</v>
      </c>
      <c r="J163" s="4">
        <f>CHOOSE( CONTROL!$C$33, 6.3858, 6.3848) * CHOOSE(CONTROL!$C$16, $D$11, 100%, $F$11)</f>
        <v>6.3857999999999997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32.070099999999996</v>
      </c>
      <c r="R163" s="9"/>
      <c r="S163" s="11"/>
    </row>
    <row r="164" spans="1:19" ht="15.75">
      <c r="A164" s="13">
        <v>46113</v>
      </c>
      <c r="B164" s="8">
        <f>CHOOSE( CONTROL!$C$33, 6.6897, 6.6886) * CHOOSE(CONTROL!$C$16, $D$11, 100%, $F$11)</f>
        <v>6.6897000000000002</v>
      </c>
      <c r="C164" s="8">
        <f>CHOOSE( CONTROL!$C$33, 6.6942, 6.6931) * CHOOSE(CONTROL!$C$16, $D$11, 100%, $F$11)</f>
        <v>6.6942000000000004</v>
      </c>
      <c r="D164" s="8">
        <f>CHOOSE( CONTROL!$C$33, 6.7186, 6.7175) * CHOOSE( CONTROL!$C$16, $D$11, 100%, $F$11)</f>
        <v>6.7186000000000003</v>
      </c>
      <c r="E164" s="12">
        <f>CHOOSE( CONTROL!$C$33, 6.71, 6.7089) * CHOOSE( CONTROL!$C$16, $D$11, 100%, $F$11)</f>
        <v>6.71</v>
      </c>
      <c r="F164" s="4">
        <f>CHOOSE( CONTROL!$C$33, 7.4186, 7.4175) * CHOOSE(CONTROL!$C$16, $D$11, 100%, $F$11)</f>
        <v>7.4185999999999996</v>
      </c>
      <c r="G164" s="8">
        <f>CHOOSE( CONTROL!$C$33, 6.6415, 6.6405) * CHOOSE( CONTROL!$C$16, $D$11, 100%, $F$11)</f>
        <v>6.6414999999999997</v>
      </c>
      <c r="H164" s="4">
        <f>CHOOSE( CONTROL!$C$33, 7.5784, 7.5773) * CHOOSE(CONTROL!$C$16, $D$11, 100%, $F$11)</f>
        <v>7.5784000000000002</v>
      </c>
      <c r="I164" s="8">
        <f>CHOOSE( CONTROL!$C$33, 6.6106, 6.6095) * CHOOSE(CONTROL!$C$16, $D$11, 100%, $F$11)</f>
        <v>6.6105999999999998</v>
      </c>
      <c r="J164" s="4">
        <f>CHOOSE( CONTROL!$C$33, 6.4829, 6.4818) * CHOOSE(CONTROL!$C$16, $D$11, 100%, $F$11)</f>
        <v>6.4828999999999999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1.2509999999999999</v>
      </c>
      <c r="Q164" s="9">
        <v>31.035599999999999</v>
      </c>
      <c r="R164" s="9"/>
      <c r="S164" s="11"/>
    </row>
    <row r="165" spans="1:19" ht="15.75">
      <c r="A165" s="13">
        <v>46143</v>
      </c>
      <c r="B165" s="8">
        <f>CHOOSE( CONTROL!$C$33, 6.8696, 6.868) * CHOOSE(CONTROL!$C$16, $D$11, 100%, $F$11)</f>
        <v>6.8696000000000002</v>
      </c>
      <c r="C165" s="8">
        <f>CHOOSE( CONTROL!$C$33, 6.8776, 6.8759) * CHOOSE(CONTROL!$C$16, $D$11, 100%, $F$11)</f>
        <v>6.8776000000000002</v>
      </c>
      <c r="D165" s="8">
        <f>CHOOSE( CONTROL!$C$33, 6.8959, 6.8942) * CHOOSE( CONTROL!$C$16, $D$11, 100%, $F$11)</f>
        <v>6.8959000000000001</v>
      </c>
      <c r="E165" s="12">
        <f>CHOOSE( CONTROL!$C$33, 6.888, 6.8864) * CHOOSE( CONTROL!$C$16, $D$11, 100%, $F$11)</f>
        <v>6.8879999999999999</v>
      </c>
      <c r="F165" s="4">
        <f>CHOOSE( CONTROL!$C$33, 7.5972, 7.5955) * CHOOSE(CONTROL!$C$16, $D$11, 100%, $F$11)</f>
        <v>7.5972</v>
      </c>
      <c r="G165" s="8">
        <f>CHOOSE( CONTROL!$C$33, 6.8179, 6.8162) * CHOOSE( CONTROL!$C$16, $D$11, 100%, $F$11)</f>
        <v>6.8178999999999998</v>
      </c>
      <c r="H165" s="4">
        <f>CHOOSE( CONTROL!$C$33, 7.7548, 7.7532) * CHOOSE(CONTROL!$C$16, $D$11, 100%, $F$11)</f>
        <v>7.7548000000000004</v>
      </c>
      <c r="I165" s="8">
        <f>CHOOSE( CONTROL!$C$33, 6.7833, 6.7817) * CHOOSE(CONTROL!$C$16, $D$11, 100%, $F$11)</f>
        <v>6.7832999999999997</v>
      </c>
      <c r="J165" s="4">
        <f>CHOOSE( CONTROL!$C$33, 6.6561, 6.6545) * CHOOSE(CONTROL!$C$16, $D$11, 100%, $F$11)</f>
        <v>6.6561000000000003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1.2927</v>
      </c>
      <c r="Q165" s="9">
        <v>32.070099999999996</v>
      </c>
      <c r="R165" s="9"/>
      <c r="S165" s="11"/>
    </row>
    <row r="166" spans="1:19" ht="15.75">
      <c r="A166" s="13">
        <v>46174</v>
      </c>
      <c r="B166" s="8">
        <f>CHOOSE( CONTROL!$C$33, 6.7594, 6.7577) * CHOOSE(CONTROL!$C$16, $D$11, 100%, $F$11)</f>
        <v>6.7594000000000003</v>
      </c>
      <c r="C166" s="8">
        <f>CHOOSE( CONTROL!$C$33, 6.7673, 6.7657) * CHOOSE(CONTROL!$C$16, $D$11, 100%, $F$11)</f>
        <v>6.7672999999999996</v>
      </c>
      <c r="D166" s="8">
        <f>CHOOSE( CONTROL!$C$33, 6.7859, 6.7842) * CHOOSE( CONTROL!$C$16, $D$11, 100%, $F$11)</f>
        <v>6.7858999999999998</v>
      </c>
      <c r="E166" s="12">
        <f>CHOOSE( CONTROL!$C$33, 6.778, 6.7763) * CHOOSE( CONTROL!$C$16, $D$11, 100%, $F$11)</f>
        <v>6.7779999999999996</v>
      </c>
      <c r="F166" s="4">
        <f>CHOOSE( CONTROL!$C$33, 7.4869, 7.4853) * CHOOSE(CONTROL!$C$16, $D$11, 100%, $F$11)</f>
        <v>7.4869000000000003</v>
      </c>
      <c r="G166" s="8">
        <f>CHOOSE( CONTROL!$C$33, 6.7091, 6.7075) * CHOOSE( CONTROL!$C$16, $D$11, 100%, $F$11)</f>
        <v>6.7091000000000003</v>
      </c>
      <c r="H166" s="4">
        <f>CHOOSE( CONTROL!$C$33, 7.6459, 7.6442) * CHOOSE(CONTROL!$C$16, $D$11, 100%, $F$11)</f>
        <v>7.6459000000000001</v>
      </c>
      <c r="I166" s="8">
        <f>CHOOSE( CONTROL!$C$33, 6.6771, 6.6755) * CHOOSE(CONTROL!$C$16, $D$11, 100%, $F$11)</f>
        <v>6.6771000000000003</v>
      </c>
      <c r="J166" s="4">
        <f>CHOOSE( CONTROL!$C$33, 6.5491, 6.5475) * CHOOSE(CONTROL!$C$16, $D$11, 100%, $F$11)</f>
        <v>6.5491000000000001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1.2509999999999999</v>
      </c>
      <c r="Q166" s="9">
        <v>31.035599999999999</v>
      </c>
      <c r="R166" s="9"/>
      <c r="S166" s="11"/>
    </row>
    <row r="167" spans="1:19" ht="15.75">
      <c r="A167" s="13">
        <v>46204</v>
      </c>
      <c r="B167" s="8">
        <f>CHOOSE( CONTROL!$C$33, 7.0497, 7.048) * CHOOSE(CONTROL!$C$16, $D$11, 100%, $F$11)</f>
        <v>7.0496999999999996</v>
      </c>
      <c r="C167" s="8">
        <f>CHOOSE( CONTROL!$C$33, 7.0576, 7.056) * CHOOSE(CONTROL!$C$16, $D$11, 100%, $F$11)</f>
        <v>7.0575999999999999</v>
      </c>
      <c r="D167" s="8">
        <f>CHOOSE( CONTROL!$C$33, 7.0764, 7.0748) * CHOOSE( CONTROL!$C$16, $D$11, 100%, $F$11)</f>
        <v>7.0763999999999996</v>
      </c>
      <c r="E167" s="12">
        <f>CHOOSE( CONTROL!$C$33, 7.0684, 7.0668) * CHOOSE( CONTROL!$C$16, $D$11, 100%, $F$11)</f>
        <v>7.0683999999999996</v>
      </c>
      <c r="F167" s="4">
        <f>CHOOSE( CONTROL!$C$33, 7.7772, 7.7756) * CHOOSE(CONTROL!$C$16, $D$11, 100%, $F$11)</f>
        <v>7.7771999999999997</v>
      </c>
      <c r="G167" s="8">
        <f>CHOOSE( CONTROL!$C$33, 6.9962, 6.9946) * CHOOSE( CONTROL!$C$16, $D$11, 100%, $F$11)</f>
        <v>6.9962</v>
      </c>
      <c r="H167" s="4">
        <f>CHOOSE( CONTROL!$C$33, 7.9328, 7.9312) * CHOOSE(CONTROL!$C$16, $D$11, 100%, $F$11)</f>
        <v>7.9328000000000003</v>
      </c>
      <c r="I167" s="8">
        <f>CHOOSE( CONTROL!$C$33, 6.9599, 6.9582) * CHOOSE(CONTROL!$C$16, $D$11, 100%, $F$11)</f>
        <v>6.9599000000000002</v>
      </c>
      <c r="J167" s="4">
        <f>CHOOSE( CONTROL!$C$33, 6.8309, 6.8293) * CHOOSE(CONTROL!$C$16, $D$11, 100%, $F$11)</f>
        <v>6.8308999999999997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1.2927</v>
      </c>
      <c r="Q167" s="9">
        <v>32.070099999999996</v>
      </c>
      <c r="R167" s="9"/>
      <c r="S167" s="11"/>
    </row>
    <row r="168" spans="1:19" ht="15.75">
      <c r="A168" s="13">
        <v>46235</v>
      </c>
      <c r="B168" s="8">
        <f>CHOOSE( CONTROL!$C$33, 6.5065, 6.5048) * CHOOSE(CONTROL!$C$16, $D$11, 100%, $F$11)</f>
        <v>6.5065</v>
      </c>
      <c r="C168" s="8">
        <f>CHOOSE( CONTROL!$C$33, 6.5145, 6.5128) * CHOOSE(CONTROL!$C$16, $D$11, 100%, $F$11)</f>
        <v>6.5145</v>
      </c>
      <c r="D168" s="8">
        <f>CHOOSE( CONTROL!$C$33, 6.5333, 6.5317) * CHOOSE( CONTROL!$C$16, $D$11, 100%, $F$11)</f>
        <v>6.5332999999999997</v>
      </c>
      <c r="E168" s="12">
        <f>CHOOSE( CONTROL!$C$33, 6.5253, 6.5236) * CHOOSE( CONTROL!$C$16, $D$11, 100%, $F$11)</f>
        <v>6.5252999999999997</v>
      </c>
      <c r="F168" s="4">
        <f>CHOOSE( CONTROL!$C$33, 7.234, 7.2324) * CHOOSE(CONTROL!$C$16, $D$11, 100%, $F$11)</f>
        <v>7.234</v>
      </c>
      <c r="G168" s="8">
        <f>CHOOSE( CONTROL!$C$33, 6.4594, 6.4578) * CHOOSE( CONTROL!$C$16, $D$11, 100%, $F$11)</f>
        <v>6.4593999999999996</v>
      </c>
      <c r="H168" s="4">
        <f>CHOOSE( CONTROL!$C$33, 7.396, 7.3943) * CHOOSE(CONTROL!$C$16, $D$11, 100%, $F$11)</f>
        <v>7.3959999999999999</v>
      </c>
      <c r="I168" s="8">
        <f>CHOOSE( CONTROL!$C$33, 6.4327, 6.4311) * CHOOSE(CONTROL!$C$16, $D$11, 100%, $F$11)</f>
        <v>6.4326999999999996</v>
      </c>
      <c r="J168" s="4">
        <f>CHOOSE( CONTROL!$C$33, 6.3037, 6.3021) * CHOOSE(CONTROL!$C$16, $D$11, 100%, $F$11)</f>
        <v>6.3037000000000001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1.2927</v>
      </c>
      <c r="Q168" s="9">
        <v>32.070099999999996</v>
      </c>
      <c r="R168" s="9"/>
      <c r="S168" s="11"/>
    </row>
    <row r="169" spans="1:19" ht="15.75">
      <c r="A169" s="13">
        <v>46266</v>
      </c>
      <c r="B169" s="8">
        <f>CHOOSE( CONTROL!$C$33, 6.3705, 6.3688) * CHOOSE(CONTROL!$C$16, $D$11, 100%, $F$11)</f>
        <v>6.3704999999999998</v>
      </c>
      <c r="C169" s="8">
        <f>CHOOSE( CONTROL!$C$33, 6.3784, 6.3768) * CHOOSE(CONTROL!$C$16, $D$11, 100%, $F$11)</f>
        <v>6.3784000000000001</v>
      </c>
      <c r="D169" s="8">
        <f>CHOOSE( CONTROL!$C$33, 6.3972, 6.3955) * CHOOSE( CONTROL!$C$16, $D$11, 100%, $F$11)</f>
        <v>6.3971999999999998</v>
      </c>
      <c r="E169" s="12">
        <f>CHOOSE( CONTROL!$C$33, 6.3892, 6.3875) * CHOOSE( CONTROL!$C$16, $D$11, 100%, $F$11)</f>
        <v>6.3891999999999998</v>
      </c>
      <c r="F169" s="4">
        <f>CHOOSE( CONTROL!$C$33, 7.098, 7.0963) * CHOOSE(CONTROL!$C$16, $D$11, 100%, $F$11)</f>
        <v>7.0979999999999999</v>
      </c>
      <c r="G169" s="8">
        <f>CHOOSE( CONTROL!$C$33, 6.3249, 6.3233) * CHOOSE( CONTROL!$C$16, $D$11, 100%, $F$11)</f>
        <v>6.3249000000000004</v>
      </c>
      <c r="H169" s="4">
        <f>CHOOSE( CONTROL!$C$33, 7.2615, 7.2599) * CHOOSE(CONTROL!$C$16, $D$11, 100%, $F$11)</f>
        <v>7.2614999999999998</v>
      </c>
      <c r="I169" s="8">
        <f>CHOOSE( CONTROL!$C$33, 6.3002, 6.2986) * CHOOSE(CONTROL!$C$16, $D$11, 100%, $F$11)</f>
        <v>6.3002000000000002</v>
      </c>
      <c r="J169" s="4">
        <f>CHOOSE( CONTROL!$C$33, 6.1717, 6.1701) * CHOOSE(CONTROL!$C$16, $D$11, 100%, $F$11)</f>
        <v>6.1717000000000004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1.2509999999999999</v>
      </c>
      <c r="Q169" s="9">
        <v>31.035599999999999</v>
      </c>
      <c r="R169" s="9"/>
      <c r="S169" s="11"/>
    </row>
    <row r="170" spans="1:19" ht="15.75">
      <c r="A170" s="13">
        <v>46296</v>
      </c>
      <c r="B170" s="8">
        <f>CHOOSE( CONTROL!$C$33, 6.6506, 6.6495) * CHOOSE(CONTROL!$C$16, $D$11, 100%, $F$11)</f>
        <v>6.6505999999999998</v>
      </c>
      <c r="C170" s="8">
        <f>CHOOSE( CONTROL!$C$33, 6.6559, 6.6548) * CHOOSE(CONTROL!$C$16, $D$11, 100%, $F$11)</f>
        <v>6.6558999999999999</v>
      </c>
      <c r="D170" s="8">
        <f>CHOOSE( CONTROL!$C$33, 6.6803, 6.6792) * CHOOSE( CONTROL!$C$16, $D$11, 100%, $F$11)</f>
        <v>6.6802999999999999</v>
      </c>
      <c r="E170" s="12">
        <f>CHOOSE( CONTROL!$C$33, 6.6717, 6.6706) * CHOOSE( CONTROL!$C$16, $D$11, 100%, $F$11)</f>
        <v>6.6717000000000004</v>
      </c>
      <c r="F170" s="4">
        <f>CHOOSE( CONTROL!$C$33, 7.3799, 7.3788) * CHOOSE(CONTROL!$C$16, $D$11, 100%, $F$11)</f>
        <v>7.3799000000000001</v>
      </c>
      <c r="G170" s="8">
        <f>CHOOSE( CONTROL!$C$33, 6.6037, 6.6026) * CHOOSE( CONTROL!$C$16, $D$11, 100%, $F$11)</f>
        <v>6.6036999999999999</v>
      </c>
      <c r="H170" s="4">
        <f>CHOOSE( CONTROL!$C$33, 7.5401, 7.539) * CHOOSE(CONTROL!$C$16, $D$11, 100%, $F$11)</f>
        <v>7.5400999999999998</v>
      </c>
      <c r="I170" s="8">
        <f>CHOOSE( CONTROL!$C$33, 6.5748, 6.5737) * CHOOSE(CONTROL!$C$16, $D$11, 100%, $F$11)</f>
        <v>6.5747999999999998</v>
      </c>
      <c r="J170" s="4">
        <f>CHOOSE( CONTROL!$C$33, 6.4452, 6.4442) * CHOOSE(CONTROL!$C$16, $D$11, 100%, $F$11)</f>
        <v>6.4451999999999998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1.2927</v>
      </c>
      <c r="Q170" s="9">
        <v>32.070099999999996</v>
      </c>
      <c r="R170" s="9"/>
      <c r="S170" s="11"/>
    </row>
    <row r="171" spans="1:19" ht="15.75">
      <c r="A171" s="13">
        <v>46327</v>
      </c>
      <c r="B171" s="8">
        <f>CHOOSE( CONTROL!$C$33, 7.1715, 7.1704) * CHOOSE(CONTROL!$C$16, $D$11, 100%, $F$11)</f>
        <v>7.1715</v>
      </c>
      <c r="C171" s="8">
        <f>CHOOSE( CONTROL!$C$33, 7.1766, 7.1755) * CHOOSE(CONTROL!$C$16, $D$11, 100%, $F$11)</f>
        <v>7.1765999999999996</v>
      </c>
      <c r="D171" s="8">
        <f>CHOOSE( CONTROL!$C$33, 7.167, 7.1659) * CHOOSE( CONTROL!$C$16, $D$11, 100%, $F$11)</f>
        <v>7.1669999999999998</v>
      </c>
      <c r="E171" s="12">
        <f>CHOOSE( CONTROL!$C$33, 7.17, 7.1689) * CHOOSE( CONTROL!$C$16, $D$11, 100%, $F$11)</f>
        <v>7.17</v>
      </c>
      <c r="F171" s="4">
        <f>CHOOSE( CONTROL!$C$33, 7.8316, 7.8305) * CHOOSE(CONTROL!$C$16, $D$11, 100%, $F$11)</f>
        <v>7.8315999999999999</v>
      </c>
      <c r="G171" s="8">
        <f>CHOOSE( CONTROL!$C$33, 7.1054, 7.1043) * CHOOSE( CONTROL!$C$16, $D$11, 100%, $F$11)</f>
        <v>7.1054000000000004</v>
      </c>
      <c r="H171" s="4">
        <f>CHOOSE( CONTROL!$C$33, 7.9865, 7.9855) * CHOOSE(CONTROL!$C$16, $D$11, 100%, $F$11)</f>
        <v>7.9865000000000004</v>
      </c>
      <c r="I171" s="8">
        <f>CHOOSE( CONTROL!$C$33, 7.1403, 7.1393) * CHOOSE(CONTROL!$C$16, $D$11, 100%, $F$11)</f>
        <v>7.1402999999999999</v>
      </c>
      <c r="J171" s="4">
        <f>CHOOSE( CONTROL!$C$33, 6.9512, 6.9501) * CHOOSE(CONTROL!$C$16, $D$11, 100%, $F$11)</f>
        <v>6.9512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31.035599999999999</v>
      </c>
      <c r="R171" s="9"/>
      <c r="S171" s="11"/>
    </row>
    <row r="172" spans="1:19" ht="15.75">
      <c r="A172" s="13">
        <v>46357</v>
      </c>
      <c r="B172" s="8">
        <f>CHOOSE( CONTROL!$C$33, 7.1585, 7.1574) * CHOOSE(CONTROL!$C$16, $D$11, 100%, $F$11)</f>
        <v>7.1585000000000001</v>
      </c>
      <c r="C172" s="8">
        <f>CHOOSE( CONTROL!$C$33, 7.1635, 7.1625) * CHOOSE(CONTROL!$C$16, $D$11, 100%, $F$11)</f>
        <v>7.1635</v>
      </c>
      <c r="D172" s="8">
        <f>CHOOSE( CONTROL!$C$33, 7.1554, 7.1543) * CHOOSE( CONTROL!$C$16, $D$11, 100%, $F$11)</f>
        <v>7.1554000000000002</v>
      </c>
      <c r="E172" s="12">
        <f>CHOOSE( CONTROL!$C$33, 7.1578, 7.1568) * CHOOSE( CONTROL!$C$16, $D$11, 100%, $F$11)</f>
        <v>7.1577999999999999</v>
      </c>
      <c r="F172" s="4">
        <f>CHOOSE( CONTROL!$C$33, 7.8186, 7.8175) * CHOOSE(CONTROL!$C$16, $D$11, 100%, $F$11)</f>
        <v>7.8186</v>
      </c>
      <c r="G172" s="8">
        <f>CHOOSE( CONTROL!$C$33, 7.0936, 7.0925) * CHOOSE( CONTROL!$C$16, $D$11, 100%, $F$11)</f>
        <v>7.0936000000000003</v>
      </c>
      <c r="H172" s="4">
        <f>CHOOSE( CONTROL!$C$33, 7.9737, 7.9726) * CHOOSE(CONTROL!$C$16, $D$11, 100%, $F$11)</f>
        <v>7.9737</v>
      </c>
      <c r="I172" s="8">
        <f>CHOOSE( CONTROL!$C$33, 7.1321, 7.1311) * CHOOSE(CONTROL!$C$16, $D$11, 100%, $F$11)</f>
        <v>7.1321000000000003</v>
      </c>
      <c r="J172" s="4">
        <f>CHOOSE( CONTROL!$C$33, 6.9385, 6.9375) * CHOOSE(CONTROL!$C$16, $D$11, 100%, $F$11)</f>
        <v>6.9385000000000003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32.070099999999996</v>
      </c>
      <c r="R172" s="9"/>
      <c r="S172" s="11"/>
    </row>
    <row r="173" spans="1:19" ht="15.75">
      <c r="A173" s="13">
        <v>46388</v>
      </c>
      <c r="B173" s="8">
        <f>CHOOSE( CONTROL!$C$33, 7.4689, 7.4678) * CHOOSE(CONTROL!$C$16, $D$11, 100%, $F$11)</f>
        <v>7.4688999999999997</v>
      </c>
      <c r="C173" s="8">
        <f>CHOOSE( CONTROL!$C$33, 7.4739, 7.4729) * CHOOSE(CONTROL!$C$16, $D$11, 100%, $F$11)</f>
        <v>7.4739000000000004</v>
      </c>
      <c r="D173" s="8">
        <f>CHOOSE( CONTROL!$C$33, 7.4766, 7.4755) * CHOOSE( CONTROL!$C$16, $D$11, 100%, $F$11)</f>
        <v>7.4766000000000004</v>
      </c>
      <c r="E173" s="12">
        <f>CHOOSE( CONTROL!$C$33, 7.4751, 7.474) * CHOOSE( CONTROL!$C$16, $D$11, 100%, $F$11)</f>
        <v>7.4751000000000003</v>
      </c>
      <c r="F173" s="4">
        <f>CHOOSE( CONTROL!$C$33, 8.129, 8.1279) * CHOOSE(CONTROL!$C$16, $D$11, 100%, $F$11)</f>
        <v>8.1289999999999996</v>
      </c>
      <c r="G173" s="8">
        <f>CHOOSE( CONTROL!$C$33, 7.4032, 7.4021) * CHOOSE( CONTROL!$C$16, $D$11, 100%, $F$11)</f>
        <v>7.4032</v>
      </c>
      <c r="H173" s="4">
        <f>CHOOSE( CONTROL!$C$33, 8.2804, 8.2794) * CHOOSE(CONTROL!$C$16, $D$11, 100%, $F$11)</f>
        <v>8.2804000000000002</v>
      </c>
      <c r="I173" s="8">
        <f>CHOOSE( CONTROL!$C$33, 7.405, 7.4039) * CHOOSE(CONTROL!$C$16, $D$11, 100%, $F$11)</f>
        <v>7.4050000000000002</v>
      </c>
      <c r="J173" s="4">
        <f>CHOOSE( CONTROL!$C$33, 7.2398, 7.2387) * CHOOSE(CONTROL!$C$16, $D$11, 100%, $F$11)</f>
        <v>7.2397999999999998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31.885999999999999</v>
      </c>
      <c r="R173" s="9"/>
      <c r="S173" s="11"/>
    </row>
    <row r="174" spans="1:19" ht="15.75">
      <c r="A174" s="13">
        <v>46419</v>
      </c>
      <c r="B174" s="8">
        <f>CHOOSE( CONTROL!$C$33, 6.9867, 6.9856) * CHOOSE(CONTROL!$C$16, $D$11, 100%, $F$11)</f>
        <v>6.9866999999999999</v>
      </c>
      <c r="C174" s="8">
        <f>CHOOSE( CONTROL!$C$33, 6.9917, 6.9907) * CHOOSE(CONTROL!$C$16, $D$11, 100%, $F$11)</f>
        <v>6.9916999999999998</v>
      </c>
      <c r="D174" s="8">
        <f>CHOOSE( CONTROL!$C$33, 6.9943, 6.9932) * CHOOSE( CONTROL!$C$16, $D$11, 100%, $F$11)</f>
        <v>6.9943</v>
      </c>
      <c r="E174" s="12">
        <f>CHOOSE( CONTROL!$C$33, 6.9928, 6.9917) * CHOOSE( CONTROL!$C$16, $D$11, 100%, $F$11)</f>
        <v>6.9927999999999999</v>
      </c>
      <c r="F174" s="4">
        <f>CHOOSE( CONTROL!$C$33, 7.6468, 7.6457) * CHOOSE(CONTROL!$C$16, $D$11, 100%, $F$11)</f>
        <v>7.6467999999999998</v>
      </c>
      <c r="G174" s="8">
        <f>CHOOSE( CONTROL!$C$33, 6.9266, 6.9255) * CHOOSE( CONTROL!$C$16, $D$11, 100%, $F$11)</f>
        <v>6.9265999999999996</v>
      </c>
      <c r="H174" s="4">
        <f>CHOOSE( CONTROL!$C$33, 7.8039, 7.8028) * CHOOSE(CONTROL!$C$16, $D$11, 100%, $F$11)</f>
        <v>7.8038999999999996</v>
      </c>
      <c r="I174" s="8">
        <f>CHOOSE( CONTROL!$C$33, 6.9365, 6.9355) * CHOOSE(CONTROL!$C$16, $D$11, 100%, $F$11)</f>
        <v>6.9364999999999997</v>
      </c>
      <c r="J174" s="4">
        <f>CHOOSE( CONTROL!$C$33, 6.7718, 6.7708) * CHOOSE(CONTROL!$C$16, $D$11, 100%, $F$11)</f>
        <v>6.7717999999999998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28.8002</v>
      </c>
      <c r="R174" s="9"/>
      <c r="S174" s="11"/>
    </row>
    <row r="175" spans="1:19" ht="15.75">
      <c r="A175" s="13">
        <v>46447</v>
      </c>
      <c r="B175" s="8">
        <f>CHOOSE( CONTROL!$C$33, 6.8382, 6.8371) * CHOOSE(CONTROL!$C$16, $D$11, 100%, $F$11)</f>
        <v>6.8381999999999996</v>
      </c>
      <c r="C175" s="8">
        <f>CHOOSE( CONTROL!$C$33, 6.8432, 6.8421) * CHOOSE(CONTROL!$C$16, $D$11, 100%, $F$11)</f>
        <v>6.8432000000000004</v>
      </c>
      <c r="D175" s="8">
        <f>CHOOSE( CONTROL!$C$33, 6.8451, 6.844) * CHOOSE( CONTROL!$C$16, $D$11, 100%, $F$11)</f>
        <v>6.8451000000000004</v>
      </c>
      <c r="E175" s="12">
        <f>CHOOSE( CONTROL!$C$33, 6.8439, 6.8428) * CHOOSE( CONTROL!$C$16, $D$11, 100%, $F$11)</f>
        <v>6.8438999999999997</v>
      </c>
      <c r="F175" s="4">
        <f>CHOOSE( CONTROL!$C$33, 7.4983, 7.4972) * CHOOSE(CONTROL!$C$16, $D$11, 100%, $F$11)</f>
        <v>7.4983000000000004</v>
      </c>
      <c r="G175" s="8">
        <f>CHOOSE( CONTROL!$C$33, 6.7793, 6.7782) * CHOOSE( CONTROL!$C$16, $D$11, 100%, $F$11)</f>
        <v>6.7793000000000001</v>
      </c>
      <c r="H175" s="4">
        <f>CHOOSE( CONTROL!$C$33, 7.6571, 7.656) * CHOOSE(CONTROL!$C$16, $D$11, 100%, $F$11)</f>
        <v>7.6570999999999998</v>
      </c>
      <c r="I175" s="8">
        <f>CHOOSE( CONTROL!$C$33, 6.7902, 6.7891) * CHOOSE(CONTROL!$C$16, $D$11, 100%, $F$11)</f>
        <v>6.7901999999999996</v>
      </c>
      <c r="J175" s="4">
        <f>CHOOSE( CONTROL!$C$33, 6.6277, 6.6266) * CHOOSE(CONTROL!$C$16, $D$11, 100%, $F$11)</f>
        <v>6.6276999999999999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31.885999999999999</v>
      </c>
      <c r="R175" s="9"/>
      <c r="S175" s="11"/>
    </row>
    <row r="176" spans="1:19" ht="15.75">
      <c r="A176" s="13">
        <v>46478</v>
      </c>
      <c r="B176" s="8">
        <f>CHOOSE( CONTROL!$C$33, 6.9427, 6.9416) * CHOOSE(CONTROL!$C$16, $D$11, 100%, $F$11)</f>
        <v>6.9427000000000003</v>
      </c>
      <c r="C176" s="8">
        <f>CHOOSE( CONTROL!$C$33, 6.9472, 6.9461) * CHOOSE(CONTROL!$C$16, $D$11, 100%, $F$11)</f>
        <v>6.9471999999999996</v>
      </c>
      <c r="D176" s="8">
        <f>CHOOSE( CONTROL!$C$33, 6.9716, 6.9705) * CHOOSE( CONTROL!$C$16, $D$11, 100%, $F$11)</f>
        <v>6.9715999999999996</v>
      </c>
      <c r="E176" s="12">
        <f>CHOOSE( CONTROL!$C$33, 6.963, 6.9619) * CHOOSE( CONTROL!$C$16, $D$11, 100%, $F$11)</f>
        <v>6.9630000000000001</v>
      </c>
      <c r="F176" s="4">
        <f>CHOOSE( CONTROL!$C$33, 7.6716, 7.6705) * CHOOSE(CONTROL!$C$16, $D$11, 100%, $F$11)</f>
        <v>7.6715999999999998</v>
      </c>
      <c r="G176" s="8">
        <f>CHOOSE( CONTROL!$C$33, 6.8916, 6.8905) * CHOOSE( CONTROL!$C$16, $D$11, 100%, $F$11)</f>
        <v>6.8916000000000004</v>
      </c>
      <c r="H176" s="4">
        <f>CHOOSE( CONTROL!$C$33, 7.8284, 7.8273) * CHOOSE(CONTROL!$C$16, $D$11, 100%, $F$11)</f>
        <v>7.8284000000000002</v>
      </c>
      <c r="I176" s="8">
        <f>CHOOSE( CONTROL!$C$33, 6.8562, 6.8552) * CHOOSE(CONTROL!$C$16, $D$11, 100%, $F$11)</f>
        <v>6.8562000000000003</v>
      </c>
      <c r="J176" s="4">
        <f>CHOOSE( CONTROL!$C$33, 6.7284, 6.7273) * CHOOSE(CONTROL!$C$16, $D$11, 100%, $F$11)</f>
        <v>6.7283999999999997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1.2509999999999999</v>
      </c>
      <c r="Q176" s="9">
        <v>30.857399999999998</v>
      </c>
      <c r="R176" s="9"/>
      <c r="S176" s="11"/>
    </row>
    <row r="177" spans="1:19" ht="15.75">
      <c r="A177" s="13">
        <v>46508</v>
      </c>
      <c r="B177" s="8">
        <f>CHOOSE( CONTROL!$C$33, 7.1293, 7.1277) * CHOOSE(CONTROL!$C$16, $D$11, 100%, $F$11)</f>
        <v>7.1292999999999997</v>
      </c>
      <c r="C177" s="8">
        <f>CHOOSE( CONTROL!$C$33, 7.1373, 7.1357) * CHOOSE(CONTROL!$C$16, $D$11, 100%, $F$11)</f>
        <v>7.1372999999999998</v>
      </c>
      <c r="D177" s="8">
        <f>CHOOSE( CONTROL!$C$33, 7.1556, 7.154) * CHOOSE( CONTROL!$C$16, $D$11, 100%, $F$11)</f>
        <v>7.1555999999999997</v>
      </c>
      <c r="E177" s="12">
        <f>CHOOSE( CONTROL!$C$33, 7.1477, 7.1461) * CHOOSE( CONTROL!$C$16, $D$11, 100%, $F$11)</f>
        <v>7.1477000000000004</v>
      </c>
      <c r="F177" s="4">
        <f>CHOOSE( CONTROL!$C$33, 7.8569, 7.8552) * CHOOSE(CONTROL!$C$16, $D$11, 100%, $F$11)</f>
        <v>7.8569000000000004</v>
      </c>
      <c r="G177" s="8">
        <f>CHOOSE( CONTROL!$C$33, 7.0746, 7.0729) * CHOOSE( CONTROL!$C$16, $D$11, 100%, $F$11)</f>
        <v>7.0746000000000002</v>
      </c>
      <c r="H177" s="4">
        <f>CHOOSE( CONTROL!$C$33, 8.0115, 8.0099) * CHOOSE(CONTROL!$C$16, $D$11, 100%, $F$11)</f>
        <v>8.0114999999999998</v>
      </c>
      <c r="I177" s="8">
        <f>CHOOSE( CONTROL!$C$33, 7.0355, 7.0339) * CHOOSE(CONTROL!$C$16, $D$11, 100%, $F$11)</f>
        <v>7.0354999999999999</v>
      </c>
      <c r="J177" s="4">
        <f>CHOOSE( CONTROL!$C$33, 6.9082, 6.9066) * CHOOSE(CONTROL!$C$16, $D$11, 100%, $F$11)</f>
        <v>6.9081999999999999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1.2927</v>
      </c>
      <c r="Q177" s="9">
        <v>31.885999999999999</v>
      </c>
      <c r="R177" s="9"/>
      <c r="S177" s="11"/>
    </row>
    <row r="178" spans="1:19" ht="15.75">
      <c r="A178" s="13">
        <v>46539</v>
      </c>
      <c r="B178" s="8">
        <f>CHOOSE( CONTROL!$C$33, 7.0149, 7.0133) * CHOOSE(CONTROL!$C$16, $D$11, 100%, $F$11)</f>
        <v>7.0148999999999999</v>
      </c>
      <c r="C178" s="8">
        <f>CHOOSE( CONTROL!$C$33, 7.0229, 7.0212) * CHOOSE(CONTROL!$C$16, $D$11, 100%, $F$11)</f>
        <v>7.0228999999999999</v>
      </c>
      <c r="D178" s="8">
        <f>CHOOSE( CONTROL!$C$33, 7.0414, 7.0398) * CHOOSE( CONTROL!$C$16, $D$11, 100%, $F$11)</f>
        <v>7.0414000000000003</v>
      </c>
      <c r="E178" s="12">
        <f>CHOOSE( CONTROL!$C$33, 7.0335, 7.0319) * CHOOSE( CONTROL!$C$16, $D$11, 100%, $F$11)</f>
        <v>7.0335000000000001</v>
      </c>
      <c r="F178" s="4">
        <f>CHOOSE( CONTROL!$C$33, 7.7425, 7.7408) * CHOOSE(CONTROL!$C$16, $D$11, 100%, $F$11)</f>
        <v>7.7424999999999997</v>
      </c>
      <c r="G178" s="8">
        <f>CHOOSE( CONTROL!$C$33, 6.9617, 6.96) * CHOOSE( CONTROL!$C$16, $D$11, 100%, $F$11)</f>
        <v>6.9617000000000004</v>
      </c>
      <c r="H178" s="4">
        <f>CHOOSE( CONTROL!$C$33, 7.8984, 7.8968) * CHOOSE(CONTROL!$C$16, $D$11, 100%, $F$11)</f>
        <v>7.8983999999999996</v>
      </c>
      <c r="I178" s="8">
        <f>CHOOSE( CONTROL!$C$33, 6.9252, 6.9236) * CHOOSE(CONTROL!$C$16, $D$11, 100%, $F$11)</f>
        <v>6.9252000000000002</v>
      </c>
      <c r="J178" s="4">
        <f>CHOOSE( CONTROL!$C$33, 6.7972, 6.7955) * CHOOSE(CONTROL!$C$16, $D$11, 100%, $F$11)</f>
        <v>6.7972000000000001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1.2509999999999999</v>
      </c>
      <c r="Q178" s="9">
        <v>30.857399999999998</v>
      </c>
      <c r="R178" s="9"/>
      <c r="S178" s="11"/>
    </row>
    <row r="179" spans="1:19" ht="15.75">
      <c r="A179" s="13">
        <v>46569</v>
      </c>
      <c r="B179" s="8">
        <f>CHOOSE( CONTROL!$C$33, 7.3162, 7.3146) * CHOOSE(CONTROL!$C$16, $D$11, 100%, $F$11)</f>
        <v>7.3162000000000003</v>
      </c>
      <c r="C179" s="8">
        <f>CHOOSE( CONTROL!$C$33, 7.3242, 7.3225) * CHOOSE(CONTROL!$C$16, $D$11, 100%, $F$11)</f>
        <v>7.3242000000000003</v>
      </c>
      <c r="D179" s="8">
        <f>CHOOSE( CONTROL!$C$33, 7.343, 7.3413) * CHOOSE( CONTROL!$C$16, $D$11, 100%, $F$11)</f>
        <v>7.343</v>
      </c>
      <c r="E179" s="12">
        <f>CHOOSE( CONTROL!$C$33, 7.335, 7.3333) * CHOOSE( CONTROL!$C$16, $D$11, 100%, $F$11)</f>
        <v>7.335</v>
      </c>
      <c r="F179" s="4">
        <f>CHOOSE( CONTROL!$C$33, 8.0438, 8.0421) * CHOOSE(CONTROL!$C$16, $D$11, 100%, $F$11)</f>
        <v>8.0437999999999992</v>
      </c>
      <c r="G179" s="8">
        <f>CHOOSE( CONTROL!$C$33, 7.2596, 7.258) * CHOOSE( CONTROL!$C$16, $D$11, 100%, $F$11)</f>
        <v>7.2595999999999998</v>
      </c>
      <c r="H179" s="4">
        <f>CHOOSE( CONTROL!$C$33, 8.1962, 8.1946) * CHOOSE(CONTROL!$C$16, $D$11, 100%, $F$11)</f>
        <v>8.1961999999999993</v>
      </c>
      <c r="I179" s="8">
        <f>CHOOSE( CONTROL!$C$33, 7.2187, 7.2171) * CHOOSE(CONTROL!$C$16, $D$11, 100%, $F$11)</f>
        <v>7.2187000000000001</v>
      </c>
      <c r="J179" s="4">
        <f>CHOOSE( CONTROL!$C$33, 7.0896, 7.088) * CHOOSE(CONTROL!$C$16, $D$11, 100%, $F$11)</f>
        <v>7.0895999999999999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1.2927</v>
      </c>
      <c r="Q179" s="9">
        <v>31.885999999999999</v>
      </c>
      <c r="R179" s="9"/>
      <c r="S179" s="11"/>
    </row>
    <row r="180" spans="1:19" ht="15.75">
      <c r="A180" s="13">
        <v>46600</v>
      </c>
      <c r="B180" s="8">
        <f>CHOOSE( CONTROL!$C$33, 6.7525, 6.7508) * CHOOSE(CONTROL!$C$16, $D$11, 100%, $F$11)</f>
        <v>6.7525000000000004</v>
      </c>
      <c r="C180" s="8">
        <f>CHOOSE( CONTROL!$C$33, 6.7604, 6.7588) * CHOOSE(CONTROL!$C$16, $D$11, 100%, $F$11)</f>
        <v>6.7603999999999997</v>
      </c>
      <c r="D180" s="8">
        <f>CHOOSE( CONTROL!$C$33, 6.7793, 6.7776) * CHOOSE( CONTROL!$C$16, $D$11, 100%, $F$11)</f>
        <v>6.7793000000000001</v>
      </c>
      <c r="E180" s="12">
        <f>CHOOSE( CONTROL!$C$33, 6.7712, 6.7696) * CHOOSE( CONTROL!$C$16, $D$11, 100%, $F$11)</f>
        <v>6.7712000000000003</v>
      </c>
      <c r="F180" s="4">
        <f>CHOOSE( CONTROL!$C$33, 7.48, 7.4783) * CHOOSE(CONTROL!$C$16, $D$11, 100%, $F$11)</f>
        <v>7.48</v>
      </c>
      <c r="G180" s="8">
        <f>CHOOSE( CONTROL!$C$33, 6.7025, 6.7009) * CHOOSE( CONTROL!$C$16, $D$11, 100%, $F$11)</f>
        <v>6.7024999999999997</v>
      </c>
      <c r="H180" s="4">
        <f>CHOOSE( CONTROL!$C$33, 7.639, 7.6374) * CHOOSE(CONTROL!$C$16, $D$11, 100%, $F$11)</f>
        <v>7.6390000000000002</v>
      </c>
      <c r="I180" s="8">
        <f>CHOOSE( CONTROL!$C$33, 6.6715, 6.6699) * CHOOSE(CONTROL!$C$16, $D$11, 100%, $F$11)</f>
        <v>6.6715</v>
      </c>
      <c r="J180" s="4">
        <f>CHOOSE( CONTROL!$C$33, 6.5424, 6.5408) * CHOOSE(CONTROL!$C$16, $D$11, 100%, $F$11)</f>
        <v>6.5423999999999998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1.2927</v>
      </c>
      <c r="Q180" s="9">
        <v>31.885999999999999</v>
      </c>
      <c r="R180" s="9"/>
      <c r="S180" s="11"/>
    </row>
    <row r="181" spans="1:19" ht="15.75">
      <c r="A181" s="13">
        <v>46631</v>
      </c>
      <c r="B181" s="8">
        <f>CHOOSE( CONTROL!$C$33, 6.6113, 6.6096) * CHOOSE(CONTROL!$C$16, $D$11, 100%, $F$11)</f>
        <v>6.6113</v>
      </c>
      <c r="C181" s="8">
        <f>CHOOSE( CONTROL!$C$33, 6.6193, 6.6176) * CHOOSE(CONTROL!$C$16, $D$11, 100%, $F$11)</f>
        <v>6.6193</v>
      </c>
      <c r="D181" s="8">
        <f>CHOOSE( CONTROL!$C$33, 6.638, 6.6364) * CHOOSE( CONTROL!$C$16, $D$11, 100%, $F$11)</f>
        <v>6.6379999999999999</v>
      </c>
      <c r="E181" s="12">
        <f>CHOOSE( CONTROL!$C$33, 6.63, 6.6284) * CHOOSE( CONTROL!$C$16, $D$11, 100%, $F$11)</f>
        <v>6.63</v>
      </c>
      <c r="F181" s="4">
        <f>CHOOSE( CONTROL!$C$33, 7.3388, 7.3372) * CHOOSE(CONTROL!$C$16, $D$11, 100%, $F$11)</f>
        <v>7.3388</v>
      </c>
      <c r="G181" s="8">
        <f>CHOOSE( CONTROL!$C$33, 6.5629, 6.5613) * CHOOSE( CONTROL!$C$16, $D$11, 100%, $F$11)</f>
        <v>6.5629</v>
      </c>
      <c r="H181" s="4">
        <f>CHOOSE( CONTROL!$C$33, 7.4995, 7.4979) * CHOOSE(CONTROL!$C$16, $D$11, 100%, $F$11)</f>
        <v>7.4995000000000003</v>
      </c>
      <c r="I181" s="8">
        <f>CHOOSE( CONTROL!$C$33, 6.5341, 6.5325) * CHOOSE(CONTROL!$C$16, $D$11, 100%, $F$11)</f>
        <v>6.5340999999999996</v>
      </c>
      <c r="J181" s="4">
        <f>CHOOSE( CONTROL!$C$33, 6.4054, 6.4038) * CHOOSE(CONTROL!$C$16, $D$11, 100%, $F$11)</f>
        <v>6.4054000000000002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1.2509999999999999</v>
      </c>
      <c r="Q181" s="9">
        <v>30.857399999999998</v>
      </c>
      <c r="R181" s="9"/>
      <c r="S181" s="11"/>
    </row>
    <row r="182" spans="1:19" ht="15.75">
      <c r="A182" s="13">
        <v>46661</v>
      </c>
      <c r="B182" s="8">
        <f>CHOOSE( CONTROL!$C$33, 6.9021, 6.901) * CHOOSE(CONTROL!$C$16, $D$11, 100%, $F$11)</f>
        <v>6.9020999999999999</v>
      </c>
      <c r="C182" s="8">
        <f>CHOOSE( CONTROL!$C$33, 6.9074, 6.9064) * CHOOSE(CONTROL!$C$16, $D$11, 100%, $F$11)</f>
        <v>6.9074</v>
      </c>
      <c r="D182" s="8">
        <f>CHOOSE( CONTROL!$C$33, 6.9318, 6.9308) * CHOOSE( CONTROL!$C$16, $D$11, 100%, $F$11)</f>
        <v>6.9318</v>
      </c>
      <c r="E182" s="12">
        <f>CHOOSE( CONTROL!$C$33, 6.9232, 6.9222) * CHOOSE( CONTROL!$C$16, $D$11, 100%, $F$11)</f>
        <v>6.9231999999999996</v>
      </c>
      <c r="F182" s="4">
        <f>CHOOSE( CONTROL!$C$33, 7.6314, 7.6303) * CHOOSE(CONTROL!$C$16, $D$11, 100%, $F$11)</f>
        <v>7.6314000000000002</v>
      </c>
      <c r="G182" s="8">
        <f>CHOOSE( CONTROL!$C$33, 6.8522, 6.8512) * CHOOSE( CONTROL!$C$16, $D$11, 100%, $F$11)</f>
        <v>6.8521999999999998</v>
      </c>
      <c r="H182" s="4">
        <f>CHOOSE( CONTROL!$C$33, 7.7887, 7.7876) * CHOOSE(CONTROL!$C$16, $D$11, 100%, $F$11)</f>
        <v>7.7887000000000004</v>
      </c>
      <c r="I182" s="8">
        <f>CHOOSE( CONTROL!$C$33, 6.819, 6.818) * CHOOSE(CONTROL!$C$16, $D$11, 100%, $F$11)</f>
        <v>6.819</v>
      </c>
      <c r="J182" s="4">
        <f>CHOOSE( CONTROL!$C$33, 6.6893, 6.6883) * CHOOSE(CONTROL!$C$16, $D$11, 100%, $F$11)</f>
        <v>6.6893000000000002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1.2927</v>
      </c>
      <c r="Q182" s="9">
        <v>31.885999999999999</v>
      </c>
      <c r="R182" s="9"/>
      <c r="S182" s="11"/>
    </row>
    <row r="183" spans="1:19" ht="15.75">
      <c r="A183" s="13">
        <v>46692</v>
      </c>
      <c r="B183" s="8">
        <f>CHOOSE( CONTROL!$C$33, 7.4428, 7.4417) * CHOOSE(CONTROL!$C$16, $D$11, 100%, $F$11)</f>
        <v>7.4428000000000001</v>
      </c>
      <c r="C183" s="8">
        <f>CHOOSE( CONTROL!$C$33, 7.4478, 7.4467) * CHOOSE(CONTROL!$C$16, $D$11, 100%, $F$11)</f>
        <v>7.4478</v>
      </c>
      <c r="D183" s="8">
        <f>CHOOSE( CONTROL!$C$33, 7.4382, 7.4371) * CHOOSE( CONTROL!$C$16, $D$11, 100%, $F$11)</f>
        <v>7.4382000000000001</v>
      </c>
      <c r="E183" s="12">
        <f>CHOOSE( CONTROL!$C$33, 7.4412, 7.4401) * CHOOSE( CONTROL!$C$16, $D$11, 100%, $F$11)</f>
        <v>7.4412000000000003</v>
      </c>
      <c r="F183" s="4">
        <f>CHOOSE( CONTROL!$C$33, 8.1029, 8.1018) * CHOOSE(CONTROL!$C$16, $D$11, 100%, $F$11)</f>
        <v>8.1029</v>
      </c>
      <c r="G183" s="8">
        <f>CHOOSE( CONTROL!$C$33, 7.3735, 7.3724) * CHOOSE( CONTROL!$C$16, $D$11, 100%, $F$11)</f>
        <v>7.3734999999999999</v>
      </c>
      <c r="H183" s="4">
        <f>CHOOSE( CONTROL!$C$33, 8.2546, 8.2536) * CHOOSE(CONTROL!$C$16, $D$11, 100%, $F$11)</f>
        <v>8.2545999999999999</v>
      </c>
      <c r="I183" s="8">
        <f>CHOOSE( CONTROL!$C$33, 7.4037, 7.4027) * CHOOSE(CONTROL!$C$16, $D$11, 100%, $F$11)</f>
        <v>7.4036999999999997</v>
      </c>
      <c r="J183" s="4">
        <f>CHOOSE( CONTROL!$C$33, 7.2144, 7.2134) * CHOOSE(CONTROL!$C$16, $D$11, 100%, $F$11)</f>
        <v>7.2144000000000004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30.857399999999998</v>
      </c>
      <c r="R183" s="9"/>
      <c r="S183" s="11"/>
    </row>
    <row r="184" spans="1:19" ht="15.75">
      <c r="A184" s="13">
        <v>46722</v>
      </c>
      <c r="B184" s="8">
        <f>CHOOSE( CONTROL!$C$33, 7.4292, 7.4282) * CHOOSE(CONTROL!$C$16, $D$11, 100%, $F$11)</f>
        <v>7.4291999999999998</v>
      </c>
      <c r="C184" s="8">
        <f>CHOOSE( CONTROL!$C$33, 7.4343, 7.4332) * CHOOSE(CONTROL!$C$16, $D$11, 100%, $F$11)</f>
        <v>7.4343000000000004</v>
      </c>
      <c r="D184" s="8">
        <f>CHOOSE( CONTROL!$C$33, 7.4261, 7.425) * CHOOSE( CONTROL!$C$16, $D$11, 100%, $F$11)</f>
        <v>7.4260999999999999</v>
      </c>
      <c r="E184" s="12">
        <f>CHOOSE( CONTROL!$C$33, 7.4286, 7.4275) * CHOOSE( CONTROL!$C$16, $D$11, 100%, $F$11)</f>
        <v>7.4286000000000003</v>
      </c>
      <c r="F184" s="4">
        <f>CHOOSE( CONTROL!$C$33, 8.0894, 8.0883) * CHOOSE(CONTROL!$C$16, $D$11, 100%, $F$11)</f>
        <v>8.0893999999999995</v>
      </c>
      <c r="G184" s="8">
        <f>CHOOSE( CONTROL!$C$33, 7.3612, 7.3601) * CHOOSE( CONTROL!$C$16, $D$11, 100%, $F$11)</f>
        <v>7.3612000000000002</v>
      </c>
      <c r="H184" s="4">
        <f>CHOOSE( CONTROL!$C$33, 8.2413, 8.2402) * CHOOSE(CONTROL!$C$16, $D$11, 100%, $F$11)</f>
        <v>8.2413000000000007</v>
      </c>
      <c r="I184" s="8">
        <f>CHOOSE( CONTROL!$C$33, 7.395, 7.394) * CHOOSE(CONTROL!$C$16, $D$11, 100%, $F$11)</f>
        <v>7.3949999999999996</v>
      </c>
      <c r="J184" s="4">
        <f>CHOOSE( CONTROL!$C$33, 7.2013, 7.2003) * CHOOSE(CONTROL!$C$16, $D$11, 100%, $F$11)</f>
        <v>7.2012999999999998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31.885999999999999</v>
      </c>
      <c r="R184" s="9"/>
      <c r="S184" s="11"/>
    </row>
    <row r="185" spans="1:19" ht="15.75">
      <c r="A185" s="13">
        <v>46753</v>
      </c>
      <c r="B185" s="8">
        <f>CHOOSE( CONTROL!$C$33, 7.7411, 7.74) * CHOOSE(CONTROL!$C$16, $D$11, 100%, $F$11)</f>
        <v>7.7411000000000003</v>
      </c>
      <c r="C185" s="8">
        <f>CHOOSE( CONTROL!$C$33, 7.7462, 7.7451) * CHOOSE(CONTROL!$C$16, $D$11, 100%, $F$11)</f>
        <v>7.7462</v>
      </c>
      <c r="D185" s="8">
        <f>CHOOSE( CONTROL!$C$33, 7.7488, 7.7477) * CHOOSE( CONTROL!$C$16, $D$11, 100%, $F$11)</f>
        <v>7.7488000000000001</v>
      </c>
      <c r="E185" s="12">
        <f>CHOOSE( CONTROL!$C$33, 7.7473, 7.7462) * CHOOSE( CONTROL!$C$16, $D$11, 100%, $F$11)</f>
        <v>7.7473000000000001</v>
      </c>
      <c r="F185" s="4">
        <f>CHOOSE( CONTROL!$C$33, 8.4012, 8.4001) * CHOOSE(CONTROL!$C$16, $D$11, 100%, $F$11)</f>
        <v>8.4011999999999993</v>
      </c>
      <c r="G185" s="8">
        <f>CHOOSE( CONTROL!$C$33, 7.6722, 7.6711) * CHOOSE( CONTROL!$C$16, $D$11, 100%, $F$11)</f>
        <v>7.6722000000000001</v>
      </c>
      <c r="H185" s="4">
        <f>CHOOSE( CONTROL!$C$33, 8.5495, 8.5484) * CHOOSE(CONTROL!$C$16, $D$11, 100%, $F$11)</f>
        <v>8.5495000000000001</v>
      </c>
      <c r="I185" s="8">
        <f>CHOOSE( CONTROL!$C$33, 7.6693, 7.6683) * CHOOSE(CONTROL!$C$16, $D$11, 100%, $F$11)</f>
        <v>7.6692999999999998</v>
      </c>
      <c r="J185" s="4">
        <f>CHOOSE( CONTROL!$C$33, 7.504, 7.5029) * CHOOSE(CONTROL!$C$16, $D$11, 100%, $F$11)</f>
        <v>7.5039999999999996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31.701799999999999</v>
      </c>
      <c r="R185" s="9"/>
      <c r="S185" s="11"/>
    </row>
    <row r="186" spans="1:19" ht="15.75">
      <c r="A186" s="13">
        <v>46784</v>
      </c>
      <c r="B186" s="8">
        <f>CHOOSE( CONTROL!$C$33, 7.2413, 7.2402) * CHOOSE(CONTROL!$C$16, $D$11, 100%, $F$11)</f>
        <v>7.2412999999999998</v>
      </c>
      <c r="C186" s="8">
        <f>CHOOSE( CONTROL!$C$33, 7.2464, 7.2453) * CHOOSE(CONTROL!$C$16, $D$11, 100%, $F$11)</f>
        <v>7.2464000000000004</v>
      </c>
      <c r="D186" s="8">
        <f>CHOOSE( CONTROL!$C$33, 7.2489, 7.2478) * CHOOSE( CONTROL!$C$16, $D$11, 100%, $F$11)</f>
        <v>7.2488999999999999</v>
      </c>
      <c r="E186" s="12">
        <f>CHOOSE( CONTROL!$C$33, 7.2474, 7.2463) * CHOOSE( CONTROL!$C$16, $D$11, 100%, $F$11)</f>
        <v>7.2473999999999998</v>
      </c>
      <c r="F186" s="4">
        <f>CHOOSE( CONTROL!$C$33, 7.9014, 7.9003) * CHOOSE(CONTROL!$C$16, $D$11, 100%, $F$11)</f>
        <v>7.9013999999999998</v>
      </c>
      <c r="G186" s="8">
        <f>CHOOSE( CONTROL!$C$33, 7.1782, 7.1771) * CHOOSE( CONTROL!$C$16, $D$11, 100%, $F$11)</f>
        <v>7.1782000000000004</v>
      </c>
      <c r="H186" s="4">
        <f>CHOOSE( CONTROL!$C$33, 8.0555, 8.0545) * CHOOSE(CONTROL!$C$16, $D$11, 100%, $F$11)</f>
        <v>8.0555000000000003</v>
      </c>
      <c r="I186" s="8">
        <f>CHOOSE( CONTROL!$C$33, 7.1838, 7.1827) * CHOOSE(CONTROL!$C$16, $D$11, 100%, $F$11)</f>
        <v>7.1837999999999997</v>
      </c>
      <c r="J186" s="4">
        <f>CHOOSE( CONTROL!$C$33, 7.0189, 7.0179) * CHOOSE(CONTROL!$C$16, $D$11, 100%, $F$11)</f>
        <v>7.0189000000000004</v>
      </c>
      <c r="K186" s="4"/>
      <c r="L186" s="9">
        <v>27.415299999999998</v>
      </c>
      <c r="M186" s="9">
        <v>11.285299999999999</v>
      </c>
      <c r="N186" s="9">
        <v>4.6254999999999997</v>
      </c>
      <c r="O186" s="9">
        <v>0.34989999999999999</v>
      </c>
      <c r="P186" s="9">
        <v>1.2093</v>
      </c>
      <c r="Q186" s="9">
        <v>29.656600000000001</v>
      </c>
      <c r="R186" s="9"/>
      <c r="S186" s="11"/>
    </row>
    <row r="187" spans="1:19" ht="15.75">
      <c r="A187" s="13">
        <v>46813</v>
      </c>
      <c r="B187" s="8">
        <f>CHOOSE( CONTROL!$C$33, 7.0873, 7.0863) * CHOOSE(CONTROL!$C$16, $D$11, 100%, $F$11)</f>
        <v>7.0872999999999999</v>
      </c>
      <c r="C187" s="8">
        <f>CHOOSE( CONTROL!$C$33, 7.0924, 7.0913) * CHOOSE(CONTROL!$C$16, $D$11, 100%, $F$11)</f>
        <v>7.0923999999999996</v>
      </c>
      <c r="D187" s="8">
        <f>CHOOSE( CONTROL!$C$33, 7.0943, 7.0932) * CHOOSE( CONTROL!$C$16, $D$11, 100%, $F$11)</f>
        <v>7.0942999999999996</v>
      </c>
      <c r="E187" s="12">
        <f>CHOOSE( CONTROL!$C$33, 7.0931, 7.092) * CHOOSE( CONTROL!$C$16, $D$11, 100%, $F$11)</f>
        <v>7.0930999999999997</v>
      </c>
      <c r="F187" s="4">
        <f>CHOOSE( CONTROL!$C$33, 7.7475, 7.7464) * CHOOSE(CONTROL!$C$16, $D$11, 100%, $F$11)</f>
        <v>7.7474999999999996</v>
      </c>
      <c r="G187" s="8">
        <f>CHOOSE( CONTROL!$C$33, 7.0256, 7.0245) * CHOOSE( CONTROL!$C$16, $D$11, 100%, $F$11)</f>
        <v>7.0255999999999998</v>
      </c>
      <c r="H187" s="4">
        <f>CHOOSE( CONTROL!$C$33, 7.9034, 7.9023) * CHOOSE(CONTROL!$C$16, $D$11, 100%, $F$11)</f>
        <v>7.9034000000000004</v>
      </c>
      <c r="I187" s="8">
        <f>CHOOSE( CONTROL!$C$33, 7.0322, 7.0311) * CHOOSE(CONTROL!$C$16, $D$11, 100%, $F$11)</f>
        <v>7.0321999999999996</v>
      </c>
      <c r="J187" s="4">
        <f>CHOOSE( CONTROL!$C$33, 6.8695, 6.8685) * CHOOSE(CONTROL!$C$16, $D$11, 100%, $F$11)</f>
        <v>6.8695000000000004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31.701799999999999</v>
      </c>
      <c r="R187" s="9"/>
      <c r="S187" s="11"/>
    </row>
    <row r="188" spans="1:19" ht="15.75">
      <c r="A188" s="13">
        <v>46844</v>
      </c>
      <c r="B188" s="8">
        <f>CHOOSE( CONTROL!$C$33, 7.1957, 7.1946) * CHOOSE(CONTROL!$C$16, $D$11, 100%, $F$11)</f>
        <v>7.1957000000000004</v>
      </c>
      <c r="C188" s="8">
        <f>CHOOSE( CONTROL!$C$33, 7.2002, 7.1991) * CHOOSE(CONTROL!$C$16, $D$11, 100%, $F$11)</f>
        <v>7.2001999999999997</v>
      </c>
      <c r="D188" s="8">
        <f>CHOOSE( CONTROL!$C$33, 7.2245, 7.2235) * CHOOSE( CONTROL!$C$16, $D$11, 100%, $F$11)</f>
        <v>7.2244999999999999</v>
      </c>
      <c r="E188" s="12">
        <f>CHOOSE( CONTROL!$C$33, 7.216, 7.2149) * CHOOSE( CONTROL!$C$16, $D$11, 100%, $F$11)</f>
        <v>7.2160000000000002</v>
      </c>
      <c r="F188" s="4">
        <f>CHOOSE( CONTROL!$C$33, 7.9246, 7.9235) * CHOOSE(CONTROL!$C$16, $D$11, 100%, $F$11)</f>
        <v>7.9245999999999999</v>
      </c>
      <c r="G188" s="8">
        <f>CHOOSE( CONTROL!$C$33, 7.1416, 7.1405) * CHOOSE( CONTROL!$C$16, $D$11, 100%, $F$11)</f>
        <v>7.1416000000000004</v>
      </c>
      <c r="H188" s="4">
        <f>CHOOSE( CONTROL!$C$33, 8.0784, 8.0774) * CHOOSE(CONTROL!$C$16, $D$11, 100%, $F$11)</f>
        <v>8.0784000000000002</v>
      </c>
      <c r="I188" s="8">
        <f>CHOOSE( CONTROL!$C$33, 7.1019, 7.1008) * CHOOSE(CONTROL!$C$16, $D$11, 100%, $F$11)</f>
        <v>7.1018999999999997</v>
      </c>
      <c r="J188" s="4">
        <f>CHOOSE( CONTROL!$C$33, 6.9739, 6.9729) * CHOOSE(CONTROL!$C$16, $D$11, 100%, $F$11)</f>
        <v>6.9739000000000004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1.2509999999999999</v>
      </c>
      <c r="Q188" s="9">
        <v>30.679200000000002</v>
      </c>
      <c r="R188" s="9"/>
      <c r="S188" s="11"/>
    </row>
    <row r="189" spans="1:19" ht="15.75">
      <c r="A189" s="13">
        <v>46874</v>
      </c>
      <c r="B189" s="8">
        <f>CHOOSE( CONTROL!$C$33, 7.3891, 7.3874) * CHOOSE(CONTROL!$C$16, $D$11, 100%, $F$11)</f>
        <v>7.3891</v>
      </c>
      <c r="C189" s="8">
        <f>CHOOSE( CONTROL!$C$33, 7.397, 7.3954) * CHOOSE(CONTROL!$C$16, $D$11, 100%, $F$11)</f>
        <v>7.3970000000000002</v>
      </c>
      <c r="D189" s="8">
        <f>CHOOSE( CONTROL!$C$33, 7.4153, 7.4137) * CHOOSE( CONTROL!$C$16, $D$11, 100%, $F$11)</f>
        <v>7.4153000000000002</v>
      </c>
      <c r="E189" s="12">
        <f>CHOOSE( CONTROL!$C$33, 7.4075, 7.4058) * CHOOSE( CONTROL!$C$16, $D$11, 100%, $F$11)</f>
        <v>7.4074999999999998</v>
      </c>
      <c r="F189" s="4">
        <f>CHOOSE( CONTROL!$C$33, 8.1166, 8.115) * CHOOSE(CONTROL!$C$16, $D$11, 100%, $F$11)</f>
        <v>8.1166</v>
      </c>
      <c r="G189" s="8">
        <f>CHOOSE( CONTROL!$C$33, 7.3312, 7.3296) * CHOOSE( CONTROL!$C$16, $D$11, 100%, $F$11)</f>
        <v>7.3311999999999999</v>
      </c>
      <c r="H189" s="4">
        <f>CHOOSE( CONTROL!$C$33, 8.2682, 8.2666) * CHOOSE(CONTROL!$C$16, $D$11, 100%, $F$11)</f>
        <v>8.2682000000000002</v>
      </c>
      <c r="I189" s="8">
        <f>CHOOSE( CONTROL!$C$33, 7.2877, 7.2861) * CHOOSE(CONTROL!$C$16, $D$11, 100%, $F$11)</f>
        <v>7.2877000000000001</v>
      </c>
      <c r="J189" s="4">
        <f>CHOOSE( CONTROL!$C$33, 7.1603, 7.1587) * CHOOSE(CONTROL!$C$16, $D$11, 100%, $F$11)</f>
        <v>7.1603000000000003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1.2927</v>
      </c>
      <c r="Q189" s="9">
        <v>31.701799999999999</v>
      </c>
      <c r="R189" s="9"/>
      <c r="S189" s="11"/>
    </row>
    <row r="190" spans="1:19" ht="15.75">
      <c r="A190" s="13">
        <v>46905</v>
      </c>
      <c r="B190" s="8">
        <f>CHOOSE( CONTROL!$C$33, 7.2705, 7.2688) * CHOOSE(CONTROL!$C$16, $D$11, 100%, $F$11)</f>
        <v>7.2705000000000002</v>
      </c>
      <c r="C190" s="8">
        <f>CHOOSE( CONTROL!$C$33, 7.2784, 7.2768) * CHOOSE(CONTROL!$C$16, $D$11, 100%, $F$11)</f>
        <v>7.2784000000000004</v>
      </c>
      <c r="D190" s="8">
        <f>CHOOSE( CONTROL!$C$33, 7.297, 7.2953) * CHOOSE( CONTROL!$C$16, $D$11, 100%, $F$11)</f>
        <v>7.2969999999999997</v>
      </c>
      <c r="E190" s="12">
        <f>CHOOSE( CONTROL!$C$33, 7.2891, 7.2874) * CHOOSE( CONTROL!$C$16, $D$11, 100%, $F$11)</f>
        <v>7.2891000000000004</v>
      </c>
      <c r="F190" s="4">
        <f>CHOOSE( CONTROL!$C$33, 7.998, 7.9964) * CHOOSE(CONTROL!$C$16, $D$11, 100%, $F$11)</f>
        <v>7.9980000000000002</v>
      </c>
      <c r="G190" s="8">
        <f>CHOOSE( CONTROL!$C$33, 7.2142, 7.2126) * CHOOSE( CONTROL!$C$16, $D$11, 100%, $F$11)</f>
        <v>7.2141999999999999</v>
      </c>
      <c r="H190" s="4">
        <f>CHOOSE( CONTROL!$C$33, 8.151, 8.1494) * CHOOSE(CONTROL!$C$16, $D$11, 100%, $F$11)</f>
        <v>8.1509999999999998</v>
      </c>
      <c r="I190" s="8">
        <f>CHOOSE( CONTROL!$C$33, 7.1734, 7.1718) * CHOOSE(CONTROL!$C$16, $D$11, 100%, $F$11)</f>
        <v>7.1734</v>
      </c>
      <c r="J190" s="4">
        <f>CHOOSE( CONTROL!$C$33, 7.0452, 7.0436) * CHOOSE(CONTROL!$C$16, $D$11, 100%, $F$11)</f>
        <v>7.0452000000000004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1.2509999999999999</v>
      </c>
      <c r="Q190" s="9">
        <v>30.679200000000002</v>
      </c>
      <c r="R190" s="9"/>
      <c r="S190" s="11"/>
    </row>
    <row r="191" spans="1:19" ht="15.75">
      <c r="A191" s="13">
        <v>46935</v>
      </c>
      <c r="B191" s="8">
        <f>CHOOSE( CONTROL!$C$33, 7.5828, 7.5811) * CHOOSE(CONTROL!$C$16, $D$11, 100%, $F$11)</f>
        <v>7.5827999999999998</v>
      </c>
      <c r="C191" s="8">
        <f>CHOOSE( CONTROL!$C$33, 7.5907, 7.5891) * CHOOSE(CONTROL!$C$16, $D$11, 100%, $F$11)</f>
        <v>7.5907</v>
      </c>
      <c r="D191" s="8">
        <f>CHOOSE( CONTROL!$C$33, 7.6095, 7.6079) * CHOOSE( CONTROL!$C$16, $D$11, 100%, $F$11)</f>
        <v>7.6094999999999997</v>
      </c>
      <c r="E191" s="12">
        <f>CHOOSE( CONTROL!$C$33, 7.6015, 7.5999) * CHOOSE( CONTROL!$C$16, $D$11, 100%, $F$11)</f>
        <v>7.6014999999999997</v>
      </c>
      <c r="F191" s="4">
        <f>CHOOSE( CONTROL!$C$33, 8.3103, 8.3087) * CHOOSE(CONTROL!$C$16, $D$11, 100%, $F$11)</f>
        <v>8.3102999999999998</v>
      </c>
      <c r="G191" s="8">
        <f>CHOOSE( CONTROL!$C$33, 7.5231, 7.5214) * CHOOSE( CONTROL!$C$16, $D$11, 100%, $F$11)</f>
        <v>7.5231000000000003</v>
      </c>
      <c r="H191" s="4">
        <f>CHOOSE( CONTROL!$C$33, 8.4596, 8.458) * CHOOSE(CONTROL!$C$16, $D$11, 100%, $F$11)</f>
        <v>8.4596</v>
      </c>
      <c r="I191" s="8">
        <f>CHOOSE( CONTROL!$C$33, 7.4775, 7.4759) * CHOOSE(CONTROL!$C$16, $D$11, 100%, $F$11)</f>
        <v>7.4775</v>
      </c>
      <c r="J191" s="4">
        <f>CHOOSE( CONTROL!$C$33, 7.3483, 7.3466) * CHOOSE(CONTROL!$C$16, $D$11, 100%, $F$11)</f>
        <v>7.3483000000000001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1.2927</v>
      </c>
      <c r="Q191" s="9">
        <v>31.701799999999999</v>
      </c>
      <c r="R191" s="9"/>
      <c r="S191" s="11"/>
    </row>
    <row r="192" spans="1:19" ht="15.75">
      <c r="A192" s="13">
        <v>46966</v>
      </c>
      <c r="B192" s="8">
        <f>CHOOSE( CONTROL!$C$33, 6.9984, 6.9968) * CHOOSE(CONTROL!$C$16, $D$11, 100%, $F$11)</f>
        <v>6.9984000000000002</v>
      </c>
      <c r="C192" s="8">
        <f>CHOOSE( CONTROL!$C$33, 7.0064, 7.0047) * CHOOSE(CONTROL!$C$16, $D$11, 100%, $F$11)</f>
        <v>7.0064000000000002</v>
      </c>
      <c r="D192" s="8">
        <f>CHOOSE( CONTROL!$C$33, 7.0253, 7.0236) * CHOOSE( CONTROL!$C$16, $D$11, 100%, $F$11)</f>
        <v>7.0252999999999997</v>
      </c>
      <c r="E192" s="12">
        <f>CHOOSE( CONTROL!$C$33, 7.0172, 7.0155) * CHOOSE( CONTROL!$C$16, $D$11, 100%, $F$11)</f>
        <v>7.0171999999999999</v>
      </c>
      <c r="F192" s="4">
        <f>CHOOSE( CONTROL!$C$33, 7.726, 7.7243) * CHOOSE(CONTROL!$C$16, $D$11, 100%, $F$11)</f>
        <v>7.726</v>
      </c>
      <c r="G192" s="8">
        <f>CHOOSE( CONTROL!$C$33, 6.9456, 6.944) * CHOOSE( CONTROL!$C$16, $D$11, 100%, $F$11)</f>
        <v>6.9455999999999998</v>
      </c>
      <c r="H192" s="4">
        <f>CHOOSE( CONTROL!$C$33, 7.8821, 7.8805) * CHOOSE(CONTROL!$C$16, $D$11, 100%, $F$11)</f>
        <v>7.8821000000000003</v>
      </c>
      <c r="I192" s="8">
        <f>CHOOSE( CONTROL!$C$33, 6.9104, 6.9087) * CHOOSE(CONTROL!$C$16, $D$11, 100%, $F$11)</f>
        <v>6.9104000000000001</v>
      </c>
      <c r="J192" s="4">
        <f>CHOOSE( CONTROL!$C$33, 6.7812, 6.7795) * CHOOSE(CONTROL!$C$16, $D$11, 100%, $F$11)</f>
        <v>6.7812000000000001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1.2927</v>
      </c>
      <c r="Q192" s="9">
        <v>31.701799999999999</v>
      </c>
      <c r="R192" s="9"/>
      <c r="S192" s="11"/>
    </row>
    <row r="193" spans="1:19" ht="15.75">
      <c r="A193" s="13">
        <v>46997</v>
      </c>
      <c r="B193" s="8">
        <f>CHOOSE( CONTROL!$C$33, 6.8521, 6.8504) * CHOOSE(CONTROL!$C$16, $D$11, 100%, $F$11)</f>
        <v>6.8521000000000001</v>
      </c>
      <c r="C193" s="8">
        <f>CHOOSE( CONTROL!$C$33, 6.8601, 6.8584) * CHOOSE(CONTROL!$C$16, $D$11, 100%, $F$11)</f>
        <v>6.8601000000000001</v>
      </c>
      <c r="D193" s="8">
        <f>CHOOSE( CONTROL!$C$33, 6.8788, 6.8772) * CHOOSE( CONTROL!$C$16, $D$11, 100%, $F$11)</f>
        <v>6.8788</v>
      </c>
      <c r="E193" s="12">
        <f>CHOOSE( CONTROL!$C$33, 6.8708, 6.8692) * CHOOSE( CONTROL!$C$16, $D$11, 100%, $F$11)</f>
        <v>6.8708</v>
      </c>
      <c r="F193" s="4">
        <f>CHOOSE( CONTROL!$C$33, 7.5796, 7.578) * CHOOSE(CONTROL!$C$16, $D$11, 100%, $F$11)</f>
        <v>7.5796000000000001</v>
      </c>
      <c r="G193" s="8">
        <f>CHOOSE( CONTROL!$C$33, 6.8009, 6.7993) * CHOOSE( CONTROL!$C$16, $D$11, 100%, $F$11)</f>
        <v>6.8009000000000004</v>
      </c>
      <c r="H193" s="4">
        <f>CHOOSE( CONTROL!$C$33, 7.7375, 7.7359) * CHOOSE(CONTROL!$C$16, $D$11, 100%, $F$11)</f>
        <v>7.7374999999999998</v>
      </c>
      <c r="I193" s="8">
        <f>CHOOSE( CONTROL!$C$33, 6.7679, 6.7663) * CHOOSE(CONTROL!$C$16, $D$11, 100%, $F$11)</f>
        <v>6.7679</v>
      </c>
      <c r="J193" s="4">
        <f>CHOOSE( CONTROL!$C$33, 6.6391, 6.6375) * CHOOSE(CONTROL!$C$16, $D$11, 100%, $F$11)</f>
        <v>6.6391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1.2509999999999999</v>
      </c>
      <c r="Q193" s="9">
        <v>30.679200000000002</v>
      </c>
      <c r="R193" s="9"/>
      <c r="S193" s="11"/>
    </row>
    <row r="194" spans="1:19" ht="15.75">
      <c r="A194" s="13">
        <v>47027</v>
      </c>
      <c r="B194" s="8">
        <f>CHOOSE( CONTROL!$C$33, 7.1536, 7.1525) * CHOOSE(CONTROL!$C$16, $D$11, 100%, $F$11)</f>
        <v>7.1536</v>
      </c>
      <c r="C194" s="8">
        <f>CHOOSE( CONTROL!$C$33, 7.159, 7.1579) * CHOOSE(CONTROL!$C$16, $D$11, 100%, $F$11)</f>
        <v>7.1589999999999998</v>
      </c>
      <c r="D194" s="8">
        <f>CHOOSE( CONTROL!$C$33, 7.1834, 7.1823) * CHOOSE( CONTROL!$C$16, $D$11, 100%, $F$11)</f>
        <v>7.1833999999999998</v>
      </c>
      <c r="E194" s="12">
        <f>CHOOSE( CONTROL!$C$33, 7.1748, 7.1737) * CHOOSE( CONTROL!$C$16, $D$11, 100%, $F$11)</f>
        <v>7.1748000000000003</v>
      </c>
      <c r="F194" s="4">
        <f>CHOOSE( CONTROL!$C$33, 7.8829, 7.8818) * CHOOSE(CONTROL!$C$16, $D$11, 100%, $F$11)</f>
        <v>7.8829000000000002</v>
      </c>
      <c r="G194" s="8">
        <f>CHOOSE( CONTROL!$C$33, 7.1008, 7.0997) * CHOOSE( CONTROL!$C$16, $D$11, 100%, $F$11)</f>
        <v>7.1007999999999996</v>
      </c>
      <c r="H194" s="4">
        <f>CHOOSE( CONTROL!$C$33, 8.0372, 8.0362) * CHOOSE(CONTROL!$C$16, $D$11, 100%, $F$11)</f>
        <v>8.0372000000000003</v>
      </c>
      <c r="I194" s="8">
        <f>CHOOSE( CONTROL!$C$33, 7.0632, 7.0622) * CHOOSE(CONTROL!$C$16, $D$11, 100%, $F$11)</f>
        <v>7.0632000000000001</v>
      </c>
      <c r="J194" s="4">
        <f>CHOOSE( CONTROL!$C$33, 6.9334, 6.9324) * CHOOSE(CONTROL!$C$16, $D$11, 100%, $F$11)</f>
        <v>6.9333999999999998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1.2927</v>
      </c>
      <c r="Q194" s="9">
        <v>31.701799999999999</v>
      </c>
      <c r="R194" s="9"/>
      <c r="S194" s="11"/>
    </row>
    <row r="195" spans="1:19" ht="15.75">
      <c r="A195" s="13">
        <v>47058</v>
      </c>
      <c r="B195" s="8">
        <f>CHOOSE( CONTROL!$C$33, 7.714, 7.7129) * CHOOSE(CONTROL!$C$16, $D$11, 100%, $F$11)</f>
        <v>7.7140000000000004</v>
      </c>
      <c r="C195" s="8">
        <f>CHOOSE( CONTROL!$C$33, 7.7191, 7.718) * CHOOSE(CONTROL!$C$16, $D$11, 100%, $F$11)</f>
        <v>7.7191000000000001</v>
      </c>
      <c r="D195" s="8">
        <f>CHOOSE( CONTROL!$C$33, 7.7095, 7.7084) * CHOOSE( CONTROL!$C$16, $D$11, 100%, $F$11)</f>
        <v>7.7095000000000002</v>
      </c>
      <c r="E195" s="12">
        <f>CHOOSE( CONTROL!$C$33, 7.7125, 7.7114) * CHOOSE( CONTROL!$C$16, $D$11, 100%, $F$11)</f>
        <v>7.7125000000000004</v>
      </c>
      <c r="F195" s="4">
        <f>CHOOSE( CONTROL!$C$33, 8.3741, 8.3731) * CHOOSE(CONTROL!$C$16, $D$11, 100%, $F$11)</f>
        <v>8.3741000000000003</v>
      </c>
      <c r="G195" s="8">
        <f>CHOOSE( CONTROL!$C$33, 7.6416, 7.6405) * CHOOSE( CONTROL!$C$16, $D$11, 100%, $F$11)</f>
        <v>7.6416000000000004</v>
      </c>
      <c r="H195" s="4">
        <f>CHOOSE( CONTROL!$C$33, 8.5227, 8.5217) * CHOOSE(CONTROL!$C$16, $D$11, 100%, $F$11)</f>
        <v>8.5227000000000004</v>
      </c>
      <c r="I195" s="8">
        <f>CHOOSE( CONTROL!$C$33, 7.6671, 7.6661) * CHOOSE(CONTROL!$C$16, $D$11, 100%, $F$11)</f>
        <v>7.6670999999999996</v>
      </c>
      <c r="J195" s="4">
        <f>CHOOSE( CONTROL!$C$33, 7.4777, 7.4767) * CHOOSE(CONTROL!$C$16, $D$11, 100%, $F$11)</f>
        <v>7.4776999999999996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30.679200000000002</v>
      </c>
      <c r="R195" s="9"/>
      <c r="S195" s="11"/>
    </row>
    <row r="196" spans="1:19" ht="15.75">
      <c r="A196" s="13">
        <v>47088</v>
      </c>
      <c r="B196" s="8">
        <f>CHOOSE( CONTROL!$C$33, 7.7, 7.6989) * CHOOSE(CONTROL!$C$16, $D$11, 100%, $F$11)</f>
        <v>7.7</v>
      </c>
      <c r="C196" s="8">
        <f>CHOOSE( CONTROL!$C$33, 7.7051, 7.704) * CHOOSE(CONTROL!$C$16, $D$11, 100%, $F$11)</f>
        <v>7.7050999999999998</v>
      </c>
      <c r="D196" s="8">
        <f>CHOOSE( CONTROL!$C$33, 7.6969, 7.6958) * CHOOSE( CONTROL!$C$16, $D$11, 100%, $F$11)</f>
        <v>7.6969000000000003</v>
      </c>
      <c r="E196" s="12">
        <f>CHOOSE( CONTROL!$C$33, 7.6994, 7.6983) * CHOOSE( CONTROL!$C$16, $D$11, 100%, $F$11)</f>
        <v>7.6993999999999998</v>
      </c>
      <c r="F196" s="4">
        <f>CHOOSE( CONTROL!$C$33, 8.3601, 8.3591) * CHOOSE(CONTROL!$C$16, $D$11, 100%, $F$11)</f>
        <v>8.3600999999999992</v>
      </c>
      <c r="G196" s="8">
        <f>CHOOSE( CONTROL!$C$33, 7.6288, 7.6277) * CHOOSE( CONTROL!$C$16, $D$11, 100%, $F$11)</f>
        <v>7.6288</v>
      </c>
      <c r="H196" s="4">
        <f>CHOOSE( CONTROL!$C$33, 8.5089, 8.5078) * CHOOSE(CONTROL!$C$16, $D$11, 100%, $F$11)</f>
        <v>8.5089000000000006</v>
      </c>
      <c r="I196" s="8">
        <f>CHOOSE( CONTROL!$C$33, 7.658, 7.6569) * CHOOSE(CONTROL!$C$16, $D$11, 100%, $F$11)</f>
        <v>7.6580000000000004</v>
      </c>
      <c r="J196" s="4">
        <f>CHOOSE( CONTROL!$C$33, 7.4641, 7.4631) * CHOOSE(CONTROL!$C$16, $D$11, 100%, $F$11)</f>
        <v>7.4641000000000002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31.701799999999999</v>
      </c>
      <c r="R196" s="9"/>
      <c r="S196" s="11"/>
    </row>
    <row r="197" spans="1:19" ht="15.75">
      <c r="A197" s="13">
        <v>47119</v>
      </c>
      <c r="B197" s="8">
        <f>CHOOSE( CONTROL!$C$33, 8.0677, 8.0667) * CHOOSE(CONTROL!$C$16, $D$11, 100%, $F$11)</f>
        <v>8.0677000000000003</v>
      </c>
      <c r="C197" s="8">
        <f>CHOOSE( CONTROL!$C$33, 8.0728, 8.0717) * CHOOSE(CONTROL!$C$16, $D$11, 100%, $F$11)</f>
        <v>8.0728000000000009</v>
      </c>
      <c r="D197" s="8">
        <f>CHOOSE( CONTROL!$C$33, 8.0755, 8.0744) * CHOOSE( CONTROL!$C$16, $D$11, 100%, $F$11)</f>
        <v>8.0754999999999999</v>
      </c>
      <c r="E197" s="12">
        <f>CHOOSE( CONTROL!$C$33, 8.074, 8.0729) * CHOOSE( CONTROL!$C$16, $D$11, 100%, $F$11)</f>
        <v>8.0739999999999998</v>
      </c>
      <c r="F197" s="4">
        <f>CHOOSE( CONTROL!$C$33, 8.7279, 8.7268) * CHOOSE(CONTROL!$C$16, $D$11, 100%, $F$11)</f>
        <v>8.7279</v>
      </c>
      <c r="G197" s="8">
        <f>CHOOSE( CONTROL!$C$33, 7.995, 7.994) * CHOOSE( CONTROL!$C$16, $D$11, 100%, $F$11)</f>
        <v>7.9950000000000001</v>
      </c>
      <c r="H197" s="4">
        <f>CHOOSE( CONTROL!$C$33, 8.8723, 8.8712) * CHOOSE(CONTROL!$C$16, $D$11, 100%, $F$11)</f>
        <v>8.8722999999999992</v>
      </c>
      <c r="I197" s="8">
        <f>CHOOSE( CONTROL!$C$33, 7.9865, 7.9854) * CHOOSE(CONTROL!$C$16, $D$11, 100%, $F$11)</f>
        <v>7.9865000000000004</v>
      </c>
      <c r="J197" s="4">
        <f>CHOOSE( CONTROL!$C$33, 7.821, 7.8199) * CHOOSE(CONTROL!$C$16, $D$11, 100%, $F$11)</f>
        <v>7.8209999999999997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31.517700000000001</v>
      </c>
      <c r="R197" s="9"/>
      <c r="S197" s="11"/>
    </row>
    <row r="198" spans="1:19" ht="15.75">
      <c r="A198" s="13">
        <v>47150</v>
      </c>
      <c r="B198" s="8">
        <f>CHOOSE( CONTROL!$C$33, 7.5468, 7.5457) * CHOOSE(CONTROL!$C$16, $D$11, 100%, $F$11)</f>
        <v>7.5468000000000002</v>
      </c>
      <c r="C198" s="8">
        <f>CHOOSE( CONTROL!$C$33, 7.5519, 7.5508) * CHOOSE(CONTROL!$C$16, $D$11, 100%, $F$11)</f>
        <v>7.5518999999999998</v>
      </c>
      <c r="D198" s="8">
        <f>CHOOSE( CONTROL!$C$33, 7.5545, 7.5534) * CHOOSE( CONTROL!$C$16, $D$11, 100%, $F$11)</f>
        <v>7.5545</v>
      </c>
      <c r="E198" s="12">
        <f>CHOOSE( CONTROL!$C$33, 7.553, 7.5519) * CHOOSE( CONTROL!$C$16, $D$11, 100%, $F$11)</f>
        <v>7.5529999999999999</v>
      </c>
      <c r="F198" s="4">
        <f>CHOOSE( CONTROL!$C$33, 8.207, 8.2059) * CHOOSE(CONTROL!$C$16, $D$11, 100%, $F$11)</f>
        <v>8.2070000000000007</v>
      </c>
      <c r="G198" s="8">
        <f>CHOOSE( CONTROL!$C$33, 7.4802, 7.4791) * CHOOSE( CONTROL!$C$16, $D$11, 100%, $F$11)</f>
        <v>7.4802</v>
      </c>
      <c r="H198" s="4">
        <f>CHOOSE( CONTROL!$C$33, 8.3575, 8.3564) * CHOOSE(CONTROL!$C$16, $D$11, 100%, $F$11)</f>
        <v>8.3574999999999999</v>
      </c>
      <c r="I198" s="8">
        <f>CHOOSE( CONTROL!$C$33, 7.4804, 7.4794) * CHOOSE(CONTROL!$C$16, $D$11, 100%, $F$11)</f>
        <v>7.4804000000000004</v>
      </c>
      <c r="J198" s="4">
        <f>CHOOSE( CONTROL!$C$33, 7.3154, 7.3144) * CHOOSE(CONTROL!$C$16, $D$11, 100%, $F$11)</f>
        <v>7.3154000000000003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28.467600000000001</v>
      </c>
      <c r="R198" s="9"/>
      <c r="S198" s="11"/>
    </row>
    <row r="199" spans="1:19" ht="15.75">
      <c r="A199" s="13">
        <v>47178</v>
      </c>
      <c r="B199" s="8">
        <f>CHOOSE( CONTROL!$C$33, 7.3864, 7.3853) * CHOOSE(CONTROL!$C$16, $D$11, 100%, $F$11)</f>
        <v>7.3864000000000001</v>
      </c>
      <c r="C199" s="8">
        <f>CHOOSE( CONTROL!$C$33, 7.3915, 7.3904) * CHOOSE(CONTROL!$C$16, $D$11, 100%, $F$11)</f>
        <v>7.3914999999999997</v>
      </c>
      <c r="D199" s="8">
        <f>CHOOSE( CONTROL!$C$33, 7.3933, 7.3923) * CHOOSE( CONTROL!$C$16, $D$11, 100%, $F$11)</f>
        <v>7.3933</v>
      </c>
      <c r="E199" s="12">
        <f>CHOOSE( CONTROL!$C$33, 7.3921, 7.3911) * CHOOSE( CONTROL!$C$16, $D$11, 100%, $F$11)</f>
        <v>7.3921000000000001</v>
      </c>
      <c r="F199" s="4">
        <f>CHOOSE( CONTROL!$C$33, 8.0465, 8.0454) * CHOOSE(CONTROL!$C$16, $D$11, 100%, $F$11)</f>
        <v>8.0465</v>
      </c>
      <c r="G199" s="8">
        <f>CHOOSE( CONTROL!$C$33, 7.3211, 7.32) * CHOOSE( CONTROL!$C$16, $D$11, 100%, $F$11)</f>
        <v>7.3211000000000004</v>
      </c>
      <c r="H199" s="4">
        <f>CHOOSE( CONTROL!$C$33, 8.1989, 8.1979) * CHOOSE(CONTROL!$C$16, $D$11, 100%, $F$11)</f>
        <v>8.1989000000000001</v>
      </c>
      <c r="I199" s="8">
        <f>CHOOSE( CONTROL!$C$33, 7.3225, 7.3215) * CHOOSE(CONTROL!$C$16, $D$11, 100%, $F$11)</f>
        <v>7.3224999999999998</v>
      </c>
      <c r="J199" s="4">
        <f>CHOOSE( CONTROL!$C$33, 7.1597, 7.1587) * CHOOSE(CONTROL!$C$16, $D$11, 100%, $F$11)</f>
        <v>7.1597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31.517700000000001</v>
      </c>
      <c r="R199" s="9"/>
      <c r="S199" s="11"/>
    </row>
    <row r="200" spans="1:19" ht="15.75">
      <c r="A200" s="13">
        <v>47209</v>
      </c>
      <c r="B200" s="8">
        <f>CHOOSE( CONTROL!$C$33, 7.4993, 7.4982) * CHOOSE(CONTROL!$C$16, $D$11, 100%, $F$11)</f>
        <v>7.4992999999999999</v>
      </c>
      <c r="C200" s="8">
        <f>CHOOSE( CONTROL!$C$33, 7.5038, 7.5027) * CHOOSE(CONTROL!$C$16, $D$11, 100%, $F$11)</f>
        <v>7.5038</v>
      </c>
      <c r="D200" s="8">
        <f>CHOOSE( CONTROL!$C$33, 7.5281, 7.527) * CHOOSE( CONTROL!$C$16, $D$11, 100%, $F$11)</f>
        <v>7.5281000000000002</v>
      </c>
      <c r="E200" s="12">
        <f>CHOOSE( CONTROL!$C$33, 7.5196, 7.5185) * CHOOSE( CONTROL!$C$16, $D$11, 100%, $F$11)</f>
        <v>7.5195999999999996</v>
      </c>
      <c r="F200" s="4">
        <f>CHOOSE( CONTROL!$C$33, 8.2282, 8.2271) * CHOOSE(CONTROL!$C$16, $D$11, 100%, $F$11)</f>
        <v>8.2281999999999993</v>
      </c>
      <c r="G200" s="8">
        <f>CHOOSE( CONTROL!$C$33, 7.4416, 7.4405) * CHOOSE( CONTROL!$C$16, $D$11, 100%, $F$11)</f>
        <v>7.4416000000000002</v>
      </c>
      <c r="H200" s="4">
        <f>CHOOSE( CONTROL!$C$33, 8.3785, 8.3774) * CHOOSE(CONTROL!$C$16, $D$11, 100%, $F$11)</f>
        <v>8.3785000000000007</v>
      </c>
      <c r="I200" s="8">
        <f>CHOOSE( CONTROL!$C$33, 7.3966, 7.3956) * CHOOSE(CONTROL!$C$16, $D$11, 100%, $F$11)</f>
        <v>7.3966000000000003</v>
      </c>
      <c r="J200" s="4">
        <f>CHOOSE( CONTROL!$C$33, 7.2685, 7.2675) * CHOOSE(CONTROL!$C$16, $D$11, 100%, $F$11)</f>
        <v>7.2685000000000004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1.2509999999999999</v>
      </c>
      <c r="Q200" s="9">
        <v>30.501000000000001</v>
      </c>
      <c r="R200" s="9"/>
      <c r="S200" s="11"/>
    </row>
    <row r="201" spans="1:19" ht="15.75">
      <c r="A201" s="13">
        <v>47239</v>
      </c>
      <c r="B201" s="8">
        <f>CHOOSE( CONTROL!$C$33, 7.7007, 7.6991) * CHOOSE(CONTROL!$C$16, $D$11, 100%, $F$11)</f>
        <v>7.7007000000000003</v>
      </c>
      <c r="C201" s="8">
        <f>CHOOSE( CONTROL!$C$33, 7.7087, 7.7071) * CHOOSE(CONTROL!$C$16, $D$11, 100%, $F$11)</f>
        <v>7.7087000000000003</v>
      </c>
      <c r="D201" s="8">
        <f>CHOOSE( CONTROL!$C$33, 7.727, 7.7254) * CHOOSE( CONTROL!$C$16, $D$11, 100%, $F$11)</f>
        <v>7.7270000000000003</v>
      </c>
      <c r="E201" s="12">
        <f>CHOOSE( CONTROL!$C$33, 7.7191, 7.7175) * CHOOSE( CONTROL!$C$16, $D$11, 100%, $F$11)</f>
        <v>7.7191000000000001</v>
      </c>
      <c r="F201" s="4">
        <f>CHOOSE( CONTROL!$C$33, 8.4283, 8.4266) * CHOOSE(CONTROL!$C$16, $D$11, 100%, $F$11)</f>
        <v>8.4283000000000001</v>
      </c>
      <c r="G201" s="8">
        <f>CHOOSE( CONTROL!$C$33, 7.6393, 7.6376) * CHOOSE( CONTROL!$C$16, $D$11, 100%, $F$11)</f>
        <v>7.6393000000000004</v>
      </c>
      <c r="H201" s="4">
        <f>CHOOSE( CONTROL!$C$33, 8.5762, 8.5746) * CHOOSE(CONTROL!$C$16, $D$11, 100%, $F$11)</f>
        <v>8.5762</v>
      </c>
      <c r="I201" s="8">
        <f>CHOOSE( CONTROL!$C$33, 7.5903, 7.5887) * CHOOSE(CONTROL!$C$16, $D$11, 100%, $F$11)</f>
        <v>7.5903</v>
      </c>
      <c r="J201" s="4">
        <f>CHOOSE( CONTROL!$C$33, 7.4627, 7.4611) * CHOOSE(CONTROL!$C$16, $D$11, 100%, $F$11)</f>
        <v>7.4626999999999999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1.2927</v>
      </c>
      <c r="Q201" s="9">
        <v>31.517700000000001</v>
      </c>
      <c r="R201" s="9"/>
      <c r="S201" s="11"/>
    </row>
    <row r="202" spans="1:19" ht="15.75">
      <c r="A202" s="13">
        <v>47270</v>
      </c>
      <c r="B202" s="8">
        <f>CHOOSE( CONTROL!$C$33, 7.5771, 7.5755) * CHOOSE(CONTROL!$C$16, $D$11, 100%, $F$11)</f>
        <v>7.5770999999999997</v>
      </c>
      <c r="C202" s="8">
        <f>CHOOSE( CONTROL!$C$33, 7.5851, 7.5834) * CHOOSE(CONTROL!$C$16, $D$11, 100%, $F$11)</f>
        <v>7.5850999999999997</v>
      </c>
      <c r="D202" s="8">
        <f>CHOOSE( CONTROL!$C$33, 7.6037, 7.602) * CHOOSE( CONTROL!$C$16, $D$11, 100%, $F$11)</f>
        <v>7.6036999999999999</v>
      </c>
      <c r="E202" s="12">
        <f>CHOOSE( CONTROL!$C$33, 7.5957, 7.5941) * CHOOSE( CONTROL!$C$16, $D$11, 100%, $F$11)</f>
        <v>7.5956999999999999</v>
      </c>
      <c r="F202" s="4">
        <f>CHOOSE( CONTROL!$C$33, 8.3047, 8.303) * CHOOSE(CONTROL!$C$16, $D$11, 100%, $F$11)</f>
        <v>8.3047000000000004</v>
      </c>
      <c r="G202" s="8">
        <f>CHOOSE( CONTROL!$C$33, 7.5173, 7.5157) * CHOOSE( CONTROL!$C$16, $D$11, 100%, $F$11)</f>
        <v>7.5172999999999996</v>
      </c>
      <c r="H202" s="4">
        <f>CHOOSE( CONTROL!$C$33, 8.4541, 8.4524) * CHOOSE(CONTROL!$C$16, $D$11, 100%, $F$11)</f>
        <v>8.4541000000000004</v>
      </c>
      <c r="I202" s="8">
        <f>CHOOSE( CONTROL!$C$33, 7.4711, 7.4695) * CHOOSE(CONTROL!$C$16, $D$11, 100%, $F$11)</f>
        <v>7.4710999999999999</v>
      </c>
      <c r="J202" s="4">
        <f>CHOOSE( CONTROL!$C$33, 7.3428, 7.3412) * CHOOSE(CONTROL!$C$16, $D$11, 100%, $F$11)</f>
        <v>7.3428000000000004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1.2509999999999999</v>
      </c>
      <c r="Q202" s="9">
        <v>30.501000000000001</v>
      </c>
      <c r="R202" s="9"/>
      <c r="S202" s="11"/>
    </row>
    <row r="203" spans="1:19" ht="15.75">
      <c r="A203" s="13">
        <v>47300</v>
      </c>
      <c r="B203" s="8">
        <f>CHOOSE( CONTROL!$C$33, 7.9026, 7.901) * CHOOSE(CONTROL!$C$16, $D$11, 100%, $F$11)</f>
        <v>7.9025999999999996</v>
      </c>
      <c r="C203" s="8">
        <f>CHOOSE( CONTROL!$C$33, 7.9106, 7.9089) * CHOOSE(CONTROL!$C$16, $D$11, 100%, $F$11)</f>
        <v>7.9105999999999996</v>
      </c>
      <c r="D203" s="8">
        <f>CHOOSE( CONTROL!$C$33, 7.9294, 7.9277) * CHOOSE( CONTROL!$C$16, $D$11, 100%, $F$11)</f>
        <v>7.9294000000000002</v>
      </c>
      <c r="E203" s="12">
        <f>CHOOSE( CONTROL!$C$33, 7.9214, 7.9197) * CHOOSE( CONTROL!$C$16, $D$11, 100%, $F$11)</f>
        <v>7.9214000000000002</v>
      </c>
      <c r="F203" s="4">
        <f>CHOOSE( CONTROL!$C$33, 8.6302, 8.6285) * CHOOSE(CONTROL!$C$16, $D$11, 100%, $F$11)</f>
        <v>8.6302000000000003</v>
      </c>
      <c r="G203" s="8">
        <f>CHOOSE( CONTROL!$C$33, 7.8392, 7.8375) * CHOOSE( CONTROL!$C$16, $D$11, 100%, $F$11)</f>
        <v>7.8391999999999999</v>
      </c>
      <c r="H203" s="4">
        <f>CHOOSE( CONTROL!$C$33, 8.7758, 8.7741) * CHOOSE(CONTROL!$C$16, $D$11, 100%, $F$11)</f>
        <v>8.7758000000000003</v>
      </c>
      <c r="I203" s="8">
        <f>CHOOSE( CONTROL!$C$33, 7.7881, 7.7864) * CHOOSE(CONTROL!$C$16, $D$11, 100%, $F$11)</f>
        <v>7.7881</v>
      </c>
      <c r="J203" s="4">
        <f>CHOOSE( CONTROL!$C$33, 7.6587, 7.6571) * CHOOSE(CONTROL!$C$16, $D$11, 100%, $F$11)</f>
        <v>7.6586999999999996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1.2927</v>
      </c>
      <c r="Q203" s="9">
        <v>31.517700000000001</v>
      </c>
      <c r="R203" s="9"/>
      <c r="S203" s="11"/>
    </row>
    <row r="204" spans="1:19" ht="15.75">
      <c r="A204" s="13">
        <v>47331</v>
      </c>
      <c r="B204" s="8">
        <f>CHOOSE( CONTROL!$C$33, 7.2936, 7.2919) * CHOOSE(CONTROL!$C$16, $D$11, 100%, $F$11)</f>
        <v>7.2935999999999996</v>
      </c>
      <c r="C204" s="8">
        <f>CHOOSE( CONTROL!$C$33, 7.3016, 7.2999) * CHOOSE(CONTROL!$C$16, $D$11, 100%, $F$11)</f>
        <v>7.3015999999999996</v>
      </c>
      <c r="D204" s="8">
        <f>CHOOSE( CONTROL!$C$33, 7.3204, 7.3188) * CHOOSE( CONTROL!$C$16, $D$11, 100%, $F$11)</f>
        <v>7.3204000000000002</v>
      </c>
      <c r="E204" s="12">
        <f>CHOOSE( CONTROL!$C$33, 7.3124, 7.3107) * CHOOSE( CONTROL!$C$16, $D$11, 100%, $F$11)</f>
        <v>7.3124000000000002</v>
      </c>
      <c r="F204" s="4">
        <f>CHOOSE( CONTROL!$C$33, 8.0211, 8.0195) * CHOOSE(CONTROL!$C$16, $D$11, 100%, $F$11)</f>
        <v>8.0211000000000006</v>
      </c>
      <c r="G204" s="8">
        <f>CHOOSE( CONTROL!$C$33, 7.2373, 7.2357) * CHOOSE( CONTROL!$C$16, $D$11, 100%, $F$11)</f>
        <v>7.2373000000000003</v>
      </c>
      <c r="H204" s="4">
        <f>CHOOSE( CONTROL!$C$33, 8.1738, 8.1722) * CHOOSE(CONTROL!$C$16, $D$11, 100%, $F$11)</f>
        <v>8.1738</v>
      </c>
      <c r="I204" s="8">
        <f>CHOOSE( CONTROL!$C$33, 7.197, 7.1953) * CHOOSE(CONTROL!$C$16, $D$11, 100%, $F$11)</f>
        <v>7.1970000000000001</v>
      </c>
      <c r="J204" s="4">
        <f>CHOOSE( CONTROL!$C$33, 7.0676, 7.066) * CHOOSE(CONTROL!$C$16, $D$11, 100%, $F$11)</f>
        <v>7.0675999999999997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1.2927</v>
      </c>
      <c r="Q204" s="9">
        <v>31.517700000000001</v>
      </c>
      <c r="R204" s="9"/>
      <c r="S204" s="11"/>
    </row>
    <row r="205" spans="1:19" ht="15.75">
      <c r="A205" s="13">
        <v>47362</v>
      </c>
      <c r="B205" s="8">
        <f>CHOOSE( CONTROL!$C$33, 7.1411, 7.1394) * CHOOSE(CONTROL!$C$16, $D$11, 100%, $F$11)</f>
        <v>7.1410999999999998</v>
      </c>
      <c r="C205" s="8">
        <f>CHOOSE( CONTROL!$C$33, 7.1491, 7.1474) * CHOOSE(CONTROL!$C$16, $D$11, 100%, $F$11)</f>
        <v>7.1490999999999998</v>
      </c>
      <c r="D205" s="8">
        <f>CHOOSE( CONTROL!$C$33, 7.1678, 7.1662) * CHOOSE( CONTROL!$C$16, $D$11, 100%, $F$11)</f>
        <v>7.1677999999999997</v>
      </c>
      <c r="E205" s="12">
        <f>CHOOSE( CONTROL!$C$33, 7.1598, 7.1582) * CHOOSE( CONTROL!$C$16, $D$11, 100%, $F$11)</f>
        <v>7.1597999999999997</v>
      </c>
      <c r="F205" s="4">
        <f>CHOOSE( CONTROL!$C$33, 7.8686, 7.867) * CHOOSE(CONTROL!$C$16, $D$11, 100%, $F$11)</f>
        <v>7.8685999999999998</v>
      </c>
      <c r="G205" s="8">
        <f>CHOOSE( CONTROL!$C$33, 7.0865, 7.0849) * CHOOSE( CONTROL!$C$16, $D$11, 100%, $F$11)</f>
        <v>7.0865</v>
      </c>
      <c r="H205" s="4">
        <f>CHOOSE( CONTROL!$C$33, 8.0231, 8.0215) * CHOOSE(CONTROL!$C$16, $D$11, 100%, $F$11)</f>
        <v>8.0230999999999995</v>
      </c>
      <c r="I205" s="8">
        <f>CHOOSE( CONTROL!$C$33, 7.0485, 7.0469) * CHOOSE(CONTROL!$C$16, $D$11, 100%, $F$11)</f>
        <v>7.0484999999999998</v>
      </c>
      <c r="J205" s="4">
        <f>CHOOSE( CONTROL!$C$33, 6.9196, 6.918) * CHOOSE(CONTROL!$C$16, $D$11, 100%, $F$11)</f>
        <v>6.9196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1.2509999999999999</v>
      </c>
      <c r="Q205" s="9">
        <v>30.501000000000001</v>
      </c>
      <c r="R205" s="9"/>
      <c r="S205" s="11"/>
    </row>
    <row r="206" spans="1:19" ht="15.75">
      <c r="A206" s="13">
        <v>47392</v>
      </c>
      <c r="B206" s="8">
        <f>CHOOSE( CONTROL!$C$33, 7.4554, 7.4544) * CHOOSE(CONTROL!$C$16, $D$11, 100%, $F$11)</f>
        <v>7.4554</v>
      </c>
      <c r="C206" s="8">
        <f>CHOOSE( CONTROL!$C$33, 7.4608, 7.4597) * CHOOSE(CONTROL!$C$16, $D$11, 100%, $F$11)</f>
        <v>7.4607999999999999</v>
      </c>
      <c r="D206" s="8">
        <f>CHOOSE( CONTROL!$C$33, 7.4852, 7.4841) * CHOOSE( CONTROL!$C$16, $D$11, 100%, $F$11)</f>
        <v>7.4851999999999999</v>
      </c>
      <c r="E206" s="12">
        <f>CHOOSE( CONTROL!$C$33, 7.4766, 7.4755) * CHOOSE( CONTROL!$C$16, $D$11, 100%, $F$11)</f>
        <v>7.4766000000000004</v>
      </c>
      <c r="F206" s="4">
        <f>CHOOSE( CONTROL!$C$33, 8.1847, 8.1836) * CHOOSE(CONTROL!$C$16, $D$11, 100%, $F$11)</f>
        <v>8.1846999999999994</v>
      </c>
      <c r="G206" s="8">
        <f>CHOOSE( CONTROL!$C$33, 7.3991, 7.398) * CHOOSE( CONTROL!$C$16, $D$11, 100%, $F$11)</f>
        <v>7.3990999999999998</v>
      </c>
      <c r="H206" s="4">
        <f>CHOOSE( CONTROL!$C$33, 8.3355, 8.3344) * CHOOSE(CONTROL!$C$16, $D$11, 100%, $F$11)</f>
        <v>8.3354999999999997</v>
      </c>
      <c r="I206" s="8">
        <f>CHOOSE( CONTROL!$C$33, 7.3563, 7.3553) * CHOOSE(CONTROL!$C$16, $D$11, 100%, $F$11)</f>
        <v>7.3563000000000001</v>
      </c>
      <c r="J206" s="4">
        <f>CHOOSE( CONTROL!$C$33, 7.2264, 7.2253) * CHOOSE(CONTROL!$C$16, $D$11, 100%, $F$11)</f>
        <v>7.2263999999999999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1.2927</v>
      </c>
      <c r="Q206" s="9">
        <v>31.517700000000001</v>
      </c>
      <c r="R206" s="9"/>
      <c r="S206" s="11"/>
    </row>
    <row r="207" spans="1:19" ht="15.75">
      <c r="A207" s="13">
        <v>47423</v>
      </c>
      <c r="B207" s="8">
        <f>CHOOSE( CONTROL!$C$33, 8.0395, 8.0385) * CHOOSE(CONTROL!$C$16, $D$11, 100%, $F$11)</f>
        <v>8.0395000000000003</v>
      </c>
      <c r="C207" s="8">
        <f>CHOOSE( CONTROL!$C$33, 8.0446, 8.0435) * CHOOSE(CONTROL!$C$16, $D$11, 100%, $F$11)</f>
        <v>8.0446000000000009</v>
      </c>
      <c r="D207" s="8">
        <f>CHOOSE( CONTROL!$C$33, 8.035, 8.0339) * CHOOSE( CONTROL!$C$16, $D$11, 100%, $F$11)</f>
        <v>8.0350000000000001</v>
      </c>
      <c r="E207" s="12">
        <f>CHOOSE( CONTROL!$C$33, 8.038, 8.0369) * CHOOSE( CONTROL!$C$16, $D$11, 100%, $F$11)</f>
        <v>8.0380000000000003</v>
      </c>
      <c r="F207" s="4">
        <f>CHOOSE( CONTROL!$C$33, 8.6997, 8.6986) * CHOOSE(CONTROL!$C$16, $D$11, 100%, $F$11)</f>
        <v>8.6997</v>
      </c>
      <c r="G207" s="8">
        <f>CHOOSE( CONTROL!$C$33, 7.9633, 7.9622) * CHOOSE( CONTROL!$C$16, $D$11, 100%, $F$11)</f>
        <v>7.9633000000000003</v>
      </c>
      <c r="H207" s="4">
        <f>CHOOSE( CONTROL!$C$33, 8.8444, 8.8434) * CHOOSE(CONTROL!$C$16, $D$11, 100%, $F$11)</f>
        <v>8.8444000000000003</v>
      </c>
      <c r="I207" s="8">
        <f>CHOOSE( CONTROL!$C$33, 7.9832, 7.9821) * CHOOSE(CONTROL!$C$16, $D$11, 100%, $F$11)</f>
        <v>7.9832000000000001</v>
      </c>
      <c r="J207" s="4">
        <f>CHOOSE( CONTROL!$C$33, 7.7936, 7.7926) * CHOOSE(CONTROL!$C$16, $D$11, 100%, $F$11)</f>
        <v>7.7935999999999996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30.501000000000001</v>
      </c>
      <c r="R207" s="9"/>
      <c r="S207" s="11"/>
    </row>
    <row r="208" spans="1:19" ht="15.75">
      <c r="A208" s="13">
        <v>47453</v>
      </c>
      <c r="B208" s="8">
        <f>CHOOSE( CONTROL!$C$33, 8.0249, 8.0238) * CHOOSE(CONTROL!$C$16, $D$11, 100%, $F$11)</f>
        <v>8.0249000000000006</v>
      </c>
      <c r="C208" s="8">
        <f>CHOOSE( CONTROL!$C$33, 8.03, 8.0289) * CHOOSE(CONTROL!$C$16, $D$11, 100%, $F$11)</f>
        <v>8.0299999999999994</v>
      </c>
      <c r="D208" s="8">
        <f>CHOOSE( CONTROL!$C$33, 8.0218, 8.0207) * CHOOSE( CONTROL!$C$16, $D$11, 100%, $F$11)</f>
        <v>8.0218000000000007</v>
      </c>
      <c r="E208" s="12">
        <f>CHOOSE( CONTROL!$C$33, 8.0243, 8.0232) * CHOOSE( CONTROL!$C$16, $D$11, 100%, $F$11)</f>
        <v>8.0243000000000002</v>
      </c>
      <c r="F208" s="4">
        <f>CHOOSE( CONTROL!$C$33, 8.6851, 8.684) * CHOOSE(CONTROL!$C$16, $D$11, 100%, $F$11)</f>
        <v>8.6851000000000003</v>
      </c>
      <c r="G208" s="8">
        <f>CHOOSE( CONTROL!$C$33, 7.9499, 7.9488) * CHOOSE( CONTROL!$C$16, $D$11, 100%, $F$11)</f>
        <v>7.9499000000000004</v>
      </c>
      <c r="H208" s="4">
        <f>CHOOSE( CONTROL!$C$33, 8.83, 8.8289) * CHOOSE(CONTROL!$C$16, $D$11, 100%, $F$11)</f>
        <v>8.83</v>
      </c>
      <c r="I208" s="8">
        <f>CHOOSE( CONTROL!$C$33, 7.9735, 7.9724) * CHOOSE(CONTROL!$C$16, $D$11, 100%, $F$11)</f>
        <v>7.9734999999999996</v>
      </c>
      <c r="J208" s="4">
        <f>CHOOSE( CONTROL!$C$33, 7.7794, 7.7784) * CHOOSE(CONTROL!$C$16, $D$11, 100%, $F$11)</f>
        <v>7.7793999999999999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31.517700000000001</v>
      </c>
      <c r="R208" s="9"/>
      <c r="S208" s="11"/>
    </row>
    <row r="209" spans="1:19" ht="15.75">
      <c r="A209" s="13">
        <v>47484</v>
      </c>
      <c r="B209" s="8">
        <f>CHOOSE( CONTROL!$C$33, 8.3944, 8.3933) * CHOOSE(CONTROL!$C$16, $D$11, 100%, $F$11)</f>
        <v>8.3943999999999992</v>
      </c>
      <c r="C209" s="8">
        <f>CHOOSE( CONTROL!$C$33, 8.3995, 8.3984) * CHOOSE(CONTROL!$C$16, $D$11, 100%, $F$11)</f>
        <v>8.3994999999999997</v>
      </c>
      <c r="D209" s="8">
        <f>CHOOSE( CONTROL!$C$33, 8.4021, 8.401) * CHOOSE( CONTROL!$C$16, $D$11, 100%, $F$11)</f>
        <v>8.4021000000000008</v>
      </c>
      <c r="E209" s="12">
        <f>CHOOSE( CONTROL!$C$33, 8.4006, 8.3995) * CHOOSE( CONTROL!$C$16, $D$11, 100%, $F$11)</f>
        <v>8.4006000000000007</v>
      </c>
      <c r="F209" s="4">
        <f>CHOOSE( CONTROL!$C$33, 9.0545, 9.0534) * CHOOSE(CONTROL!$C$16, $D$11, 100%, $F$11)</f>
        <v>9.0545000000000009</v>
      </c>
      <c r="G209" s="8">
        <f>CHOOSE( CONTROL!$C$33, 8.3179, 8.3168) * CHOOSE( CONTROL!$C$16, $D$11, 100%, $F$11)</f>
        <v>8.3178999999999998</v>
      </c>
      <c r="H209" s="4">
        <f>CHOOSE( CONTROL!$C$33, 9.1951, 9.1941) * CHOOSE(CONTROL!$C$16, $D$11, 100%, $F$11)</f>
        <v>9.1951000000000001</v>
      </c>
      <c r="I209" s="8">
        <f>CHOOSE( CONTROL!$C$33, 8.3037, 8.3026) * CHOOSE(CONTROL!$C$16, $D$11, 100%, $F$11)</f>
        <v>8.3036999999999992</v>
      </c>
      <c r="J209" s="4">
        <f>CHOOSE( CONTROL!$C$33, 8.138, 8.137) * CHOOSE(CONTROL!$C$16, $D$11, 100%, $F$11)</f>
        <v>8.1379999999999999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31.333600000000001</v>
      </c>
      <c r="R209" s="9"/>
      <c r="S209" s="11"/>
    </row>
    <row r="210" spans="1:19" ht="15.75">
      <c r="A210" s="13">
        <v>47515</v>
      </c>
      <c r="B210" s="8">
        <f>CHOOSE( CONTROL!$C$33, 7.8524, 7.8513) * CHOOSE(CONTROL!$C$16, $D$11, 100%, $F$11)</f>
        <v>7.8524000000000003</v>
      </c>
      <c r="C210" s="8">
        <f>CHOOSE( CONTROL!$C$33, 7.8574, 7.8564) * CHOOSE(CONTROL!$C$16, $D$11, 100%, $F$11)</f>
        <v>7.8574000000000002</v>
      </c>
      <c r="D210" s="8">
        <f>CHOOSE( CONTROL!$C$33, 7.86, 7.8589) * CHOOSE( CONTROL!$C$16, $D$11, 100%, $F$11)</f>
        <v>7.86</v>
      </c>
      <c r="E210" s="12">
        <f>CHOOSE( CONTROL!$C$33, 7.8585, 7.8574) * CHOOSE( CONTROL!$C$16, $D$11, 100%, $F$11)</f>
        <v>7.8585000000000003</v>
      </c>
      <c r="F210" s="4">
        <f>CHOOSE( CONTROL!$C$33, 8.5125, 8.5114) * CHOOSE(CONTROL!$C$16, $D$11, 100%, $F$11)</f>
        <v>8.5124999999999993</v>
      </c>
      <c r="G210" s="8">
        <f>CHOOSE( CONTROL!$C$33, 7.7821, 7.781) * CHOOSE( CONTROL!$C$16, $D$11, 100%, $F$11)</f>
        <v>7.7820999999999998</v>
      </c>
      <c r="H210" s="4">
        <f>CHOOSE( CONTROL!$C$33, 8.6595, 8.6584) * CHOOSE(CONTROL!$C$16, $D$11, 100%, $F$11)</f>
        <v>8.6594999999999995</v>
      </c>
      <c r="I210" s="8">
        <f>CHOOSE( CONTROL!$C$33, 7.7771, 7.7761) * CHOOSE(CONTROL!$C$16, $D$11, 100%, $F$11)</f>
        <v>7.7770999999999999</v>
      </c>
      <c r="J210" s="4">
        <f>CHOOSE( CONTROL!$C$33, 7.612, 7.6109) * CHOOSE(CONTROL!$C$16, $D$11, 100%, $F$11)</f>
        <v>7.6120000000000001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28.301300000000001</v>
      </c>
      <c r="R210" s="9"/>
      <c r="S210" s="11"/>
    </row>
    <row r="211" spans="1:19" ht="15.75">
      <c r="A211" s="13">
        <v>47543</v>
      </c>
      <c r="B211" s="8">
        <f>CHOOSE( CONTROL!$C$33, 7.6854, 7.6843) * CHOOSE(CONTROL!$C$16, $D$11, 100%, $F$11)</f>
        <v>7.6853999999999996</v>
      </c>
      <c r="C211" s="8">
        <f>CHOOSE( CONTROL!$C$33, 7.6905, 7.6894) * CHOOSE(CONTROL!$C$16, $D$11, 100%, $F$11)</f>
        <v>7.6905000000000001</v>
      </c>
      <c r="D211" s="8">
        <f>CHOOSE( CONTROL!$C$33, 7.6924, 7.6913) * CHOOSE( CONTROL!$C$16, $D$11, 100%, $F$11)</f>
        <v>7.6924000000000001</v>
      </c>
      <c r="E211" s="12">
        <f>CHOOSE( CONTROL!$C$33, 7.6912, 7.6901) * CHOOSE( CONTROL!$C$16, $D$11, 100%, $F$11)</f>
        <v>7.6912000000000003</v>
      </c>
      <c r="F211" s="4">
        <f>CHOOSE( CONTROL!$C$33, 8.3456, 8.3445) * CHOOSE(CONTROL!$C$16, $D$11, 100%, $F$11)</f>
        <v>8.3455999999999992</v>
      </c>
      <c r="G211" s="8">
        <f>CHOOSE( CONTROL!$C$33, 7.6166, 7.6156) * CHOOSE( CONTROL!$C$16, $D$11, 100%, $F$11)</f>
        <v>7.6166</v>
      </c>
      <c r="H211" s="4">
        <f>CHOOSE( CONTROL!$C$33, 8.4945, 8.4934) * CHOOSE(CONTROL!$C$16, $D$11, 100%, $F$11)</f>
        <v>8.4945000000000004</v>
      </c>
      <c r="I211" s="8">
        <f>CHOOSE( CONTROL!$C$33, 7.6129, 7.6118) * CHOOSE(CONTROL!$C$16, $D$11, 100%, $F$11)</f>
        <v>7.6128999999999998</v>
      </c>
      <c r="J211" s="4">
        <f>CHOOSE( CONTROL!$C$33, 7.45, 7.4489) * CHOOSE(CONTROL!$C$16, $D$11, 100%, $F$11)</f>
        <v>7.45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31.333600000000001</v>
      </c>
      <c r="R211" s="9"/>
      <c r="S211" s="11"/>
    </row>
    <row r="212" spans="1:19" ht="15.75">
      <c r="A212" s="13">
        <v>47574</v>
      </c>
      <c r="B212" s="8">
        <f>CHOOSE( CONTROL!$C$33, 7.8028, 7.8018) * CHOOSE(CONTROL!$C$16, $D$11, 100%, $F$11)</f>
        <v>7.8028000000000004</v>
      </c>
      <c r="C212" s="8">
        <f>CHOOSE( CONTROL!$C$33, 7.8074, 7.8063) * CHOOSE(CONTROL!$C$16, $D$11, 100%, $F$11)</f>
        <v>7.8074000000000003</v>
      </c>
      <c r="D212" s="8">
        <f>CHOOSE( CONTROL!$C$33, 7.8317, 7.8306) * CHOOSE( CONTROL!$C$16, $D$11, 100%, $F$11)</f>
        <v>7.8316999999999997</v>
      </c>
      <c r="E212" s="12">
        <f>CHOOSE( CONTROL!$C$33, 7.8231, 7.8221) * CHOOSE( CONTROL!$C$16, $D$11, 100%, $F$11)</f>
        <v>7.8231000000000002</v>
      </c>
      <c r="F212" s="4">
        <f>CHOOSE( CONTROL!$C$33, 8.5318, 8.5307) * CHOOSE(CONTROL!$C$16, $D$11, 100%, $F$11)</f>
        <v>8.5318000000000005</v>
      </c>
      <c r="G212" s="8">
        <f>CHOOSE( CONTROL!$C$33, 7.7416, 7.7406) * CHOOSE( CONTROL!$C$16, $D$11, 100%, $F$11)</f>
        <v>7.7416</v>
      </c>
      <c r="H212" s="4">
        <f>CHOOSE( CONTROL!$C$33, 8.6785, 8.6774) * CHOOSE(CONTROL!$C$16, $D$11, 100%, $F$11)</f>
        <v>8.6784999999999997</v>
      </c>
      <c r="I212" s="8">
        <f>CHOOSE( CONTROL!$C$33, 7.6914, 7.6904) * CHOOSE(CONTROL!$C$16, $D$11, 100%, $F$11)</f>
        <v>7.6913999999999998</v>
      </c>
      <c r="J212" s="4">
        <f>CHOOSE( CONTROL!$C$33, 7.5632, 7.5621) * CHOOSE(CONTROL!$C$16, $D$11, 100%, $F$11)</f>
        <v>7.5632000000000001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1.2509999999999999</v>
      </c>
      <c r="Q212" s="9">
        <v>30.322800000000001</v>
      </c>
      <c r="R212" s="9"/>
      <c r="S212" s="11"/>
    </row>
    <row r="213" spans="1:19" ht="15.75">
      <c r="A213" s="13">
        <v>47604</v>
      </c>
      <c r="B213" s="8">
        <f>CHOOSE( CONTROL!$C$33, 8.0124, 8.0108) * CHOOSE(CONTROL!$C$16, $D$11, 100%, $F$11)</f>
        <v>8.0123999999999995</v>
      </c>
      <c r="C213" s="8">
        <f>CHOOSE( CONTROL!$C$33, 8.0204, 8.0187) * CHOOSE(CONTROL!$C$16, $D$11, 100%, $F$11)</f>
        <v>8.0204000000000004</v>
      </c>
      <c r="D213" s="8">
        <f>CHOOSE( CONTROL!$C$33, 8.0387, 8.037) * CHOOSE( CONTROL!$C$16, $D$11, 100%, $F$11)</f>
        <v>8.0387000000000004</v>
      </c>
      <c r="E213" s="12">
        <f>CHOOSE( CONTROL!$C$33, 8.0308, 8.0292) * CHOOSE( CONTROL!$C$16, $D$11, 100%, $F$11)</f>
        <v>8.0307999999999993</v>
      </c>
      <c r="F213" s="4">
        <f>CHOOSE( CONTROL!$C$33, 8.74, 8.7383) * CHOOSE(CONTROL!$C$16, $D$11, 100%, $F$11)</f>
        <v>8.74</v>
      </c>
      <c r="G213" s="8">
        <f>CHOOSE( CONTROL!$C$33, 7.9473, 7.9456) * CHOOSE( CONTROL!$C$16, $D$11, 100%, $F$11)</f>
        <v>7.9473000000000003</v>
      </c>
      <c r="H213" s="4">
        <f>CHOOSE( CONTROL!$C$33, 8.8842, 8.8826) * CHOOSE(CONTROL!$C$16, $D$11, 100%, $F$11)</f>
        <v>8.8841999999999999</v>
      </c>
      <c r="I213" s="8">
        <f>CHOOSE( CONTROL!$C$33, 7.893, 7.8913) * CHOOSE(CONTROL!$C$16, $D$11, 100%, $F$11)</f>
        <v>7.8929999999999998</v>
      </c>
      <c r="J213" s="4">
        <f>CHOOSE( CONTROL!$C$33, 7.7652, 7.7636) * CHOOSE(CONTROL!$C$16, $D$11, 100%, $F$11)</f>
        <v>7.7652000000000001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1.2927</v>
      </c>
      <c r="Q213" s="9">
        <v>31.333600000000001</v>
      </c>
      <c r="R213" s="9"/>
      <c r="S213" s="11"/>
    </row>
    <row r="214" spans="1:19" ht="15.75">
      <c r="A214" s="13">
        <v>47635</v>
      </c>
      <c r="B214" s="8">
        <f>CHOOSE( CONTROL!$C$33, 7.8838, 7.8821) * CHOOSE(CONTROL!$C$16, $D$11, 100%, $F$11)</f>
        <v>7.8837999999999999</v>
      </c>
      <c r="C214" s="8">
        <f>CHOOSE( CONTROL!$C$33, 7.8918, 7.8901) * CHOOSE(CONTROL!$C$16, $D$11, 100%, $F$11)</f>
        <v>7.8917999999999999</v>
      </c>
      <c r="D214" s="8">
        <f>CHOOSE( CONTROL!$C$33, 7.9103, 7.9087) * CHOOSE( CONTROL!$C$16, $D$11, 100%, $F$11)</f>
        <v>7.9103000000000003</v>
      </c>
      <c r="E214" s="12">
        <f>CHOOSE( CONTROL!$C$33, 7.9024, 7.9007) * CHOOSE( CONTROL!$C$16, $D$11, 100%, $F$11)</f>
        <v>7.9024000000000001</v>
      </c>
      <c r="F214" s="4">
        <f>CHOOSE( CONTROL!$C$33, 8.6113, 8.6097) * CHOOSE(CONTROL!$C$16, $D$11, 100%, $F$11)</f>
        <v>8.6113</v>
      </c>
      <c r="G214" s="8">
        <f>CHOOSE( CONTROL!$C$33, 7.8204, 7.8187) * CHOOSE( CONTROL!$C$16, $D$11, 100%, $F$11)</f>
        <v>7.8204000000000002</v>
      </c>
      <c r="H214" s="4">
        <f>CHOOSE( CONTROL!$C$33, 8.7571, 8.7555) * CHOOSE(CONTROL!$C$16, $D$11, 100%, $F$11)</f>
        <v>8.7570999999999994</v>
      </c>
      <c r="I214" s="8">
        <f>CHOOSE( CONTROL!$C$33, 7.7689, 7.7673) * CHOOSE(CONTROL!$C$16, $D$11, 100%, $F$11)</f>
        <v>7.7689000000000004</v>
      </c>
      <c r="J214" s="4">
        <f>CHOOSE( CONTROL!$C$33, 7.6404, 7.6388) * CHOOSE(CONTROL!$C$16, $D$11, 100%, $F$11)</f>
        <v>7.6403999999999996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1.2509999999999999</v>
      </c>
      <c r="Q214" s="9">
        <v>30.322800000000001</v>
      </c>
      <c r="R214" s="9"/>
      <c r="S214" s="11"/>
    </row>
    <row r="215" spans="1:19" ht="15.75">
      <c r="A215" s="13">
        <v>47665</v>
      </c>
      <c r="B215" s="8">
        <f>CHOOSE( CONTROL!$C$33, 8.2225, 8.2208) * CHOOSE(CONTROL!$C$16, $D$11, 100%, $F$11)</f>
        <v>8.2225000000000001</v>
      </c>
      <c r="C215" s="8">
        <f>CHOOSE( CONTROL!$C$33, 8.2305, 8.2288) * CHOOSE(CONTROL!$C$16, $D$11, 100%, $F$11)</f>
        <v>8.2304999999999993</v>
      </c>
      <c r="D215" s="8">
        <f>CHOOSE( CONTROL!$C$33, 8.2493, 8.2476) * CHOOSE( CONTROL!$C$16, $D$11, 100%, $F$11)</f>
        <v>8.2492999999999999</v>
      </c>
      <c r="E215" s="12">
        <f>CHOOSE( CONTROL!$C$33, 8.2413, 8.2396) * CHOOSE( CONTROL!$C$16, $D$11, 100%, $F$11)</f>
        <v>8.2413000000000007</v>
      </c>
      <c r="F215" s="4">
        <f>CHOOSE( CONTROL!$C$33, 8.95, 8.9484) * CHOOSE(CONTROL!$C$16, $D$11, 100%, $F$11)</f>
        <v>8.9499999999999993</v>
      </c>
      <c r="G215" s="8">
        <f>CHOOSE( CONTROL!$C$33, 8.1553, 8.1537) * CHOOSE( CONTROL!$C$16, $D$11, 100%, $F$11)</f>
        <v>8.1553000000000004</v>
      </c>
      <c r="H215" s="4">
        <f>CHOOSE( CONTROL!$C$33, 9.0919, 9.0902) * CHOOSE(CONTROL!$C$16, $D$11, 100%, $F$11)</f>
        <v>9.0919000000000008</v>
      </c>
      <c r="I215" s="8">
        <f>CHOOSE( CONTROL!$C$33, 8.0986, 8.097) * CHOOSE(CONTROL!$C$16, $D$11, 100%, $F$11)</f>
        <v>8.0985999999999994</v>
      </c>
      <c r="J215" s="4">
        <f>CHOOSE( CONTROL!$C$33, 7.9691, 7.9675) * CHOOSE(CONTROL!$C$16, $D$11, 100%, $F$11)</f>
        <v>7.9691000000000001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1.2927</v>
      </c>
      <c r="Q215" s="9">
        <v>31.333600000000001</v>
      </c>
      <c r="R215" s="9"/>
      <c r="S215" s="11"/>
    </row>
    <row r="216" spans="1:19" ht="15.75">
      <c r="A216" s="13">
        <v>47696</v>
      </c>
      <c r="B216" s="8">
        <f>CHOOSE( CONTROL!$C$33, 7.5888, 7.5871) * CHOOSE(CONTROL!$C$16, $D$11, 100%, $F$11)</f>
        <v>7.5888</v>
      </c>
      <c r="C216" s="8">
        <f>CHOOSE( CONTROL!$C$33, 7.5967, 7.5951) * CHOOSE(CONTROL!$C$16, $D$11, 100%, $F$11)</f>
        <v>7.5967000000000002</v>
      </c>
      <c r="D216" s="8">
        <f>CHOOSE( CONTROL!$C$33, 7.6156, 7.6139) * CHOOSE( CONTROL!$C$16, $D$11, 100%, $F$11)</f>
        <v>7.6155999999999997</v>
      </c>
      <c r="E216" s="12">
        <f>CHOOSE( CONTROL!$C$33, 7.6075, 7.6059) * CHOOSE( CONTROL!$C$16, $D$11, 100%, $F$11)</f>
        <v>7.6074999999999999</v>
      </c>
      <c r="F216" s="4">
        <f>CHOOSE( CONTROL!$C$33, 8.3163, 8.3147) * CHOOSE(CONTROL!$C$16, $D$11, 100%, $F$11)</f>
        <v>8.3163</v>
      </c>
      <c r="G216" s="8">
        <f>CHOOSE( CONTROL!$C$33, 7.529, 7.5274) * CHOOSE( CONTROL!$C$16, $D$11, 100%, $F$11)</f>
        <v>7.5289999999999999</v>
      </c>
      <c r="H216" s="4">
        <f>CHOOSE( CONTROL!$C$33, 8.4656, 8.4639) * CHOOSE(CONTROL!$C$16, $D$11, 100%, $F$11)</f>
        <v>8.4656000000000002</v>
      </c>
      <c r="I216" s="8">
        <f>CHOOSE( CONTROL!$C$33, 7.4836, 7.4819) * CHOOSE(CONTROL!$C$16, $D$11, 100%, $F$11)</f>
        <v>7.4836</v>
      </c>
      <c r="J216" s="4">
        <f>CHOOSE( CONTROL!$C$33, 7.3541, 7.3525) * CHOOSE(CONTROL!$C$16, $D$11, 100%, $F$11)</f>
        <v>7.3540999999999999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1.2927</v>
      </c>
      <c r="Q216" s="9">
        <v>31.333600000000001</v>
      </c>
      <c r="R216" s="9"/>
      <c r="S216" s="11"/>
    </row>
    <row r="217" spans="1:19" ht="15.75">
      <c r="A217" s="13">
        <v>47727</v>
      </c>
      <c r="B217" s="8">
        <f>CHOOSE( CONTROL!$C$33, 7.4301, 7.4284) * CHOOSE(CONTROL!$C$16, $D$11, 100%, $F$11)</f>
        <v>7.4301000000000004</v>
      </c>
      <c r="C217" s="8">
        <f>CHOOSE( CONTROL!$C$33, 7.438, 7.4364) * CHOOSE(CONTROL!$C$16, $D$11, 100%, $F$11)</f>
        <v>7.4379999999999997</v>
      </c>
      <c r="D217" s="8">
        <f>CHOOSE( CONTROL!$C$33, 7.4568, 7.4551) * CHOOSE( CONTROL!$C$16, $D$11, 100%, $F$11)</f>
        <v>7.4568000000000003</v>
      </c>
      <c r="E217" s="12">
        <f>CHOOSE( CONTROL!$C$33, 7.4488, 7.4471) * CHOOSE( CONTROL!$C$16, $D$11, 100%, $F$11)</f>
        <v>7.4488000000000003</v>
      </c>
      <c r="F217" s="4">
        <f>CHOOSE( CONTROL!$C$33, 8.1576, 8.156) * CHOOSE(CONTROL!$C$16, $D$11, 100%, $F$11)</f>
        <v>8.1576000000000004</v>
      </c>
      <c r="G217" s="8">
        <f>CHOOSE( CONTROL!$C$33, 7.3721, 7.3705) * CHOOSE( CONTROL!$C$16, $D$11, 100%, $F$11)</f>
        <v>7.3720999999999997</v>
      </c>
      <c r="H217" s="4">
        <f>CHOOSE( CONTROL!$C$33, 8.3087, 8.3071) * CHOOSE(CONTROL!$C$16, $D$11, 100%, $F$11)</f>
        <v>8.3087</v>
      </c>
      <c r="I217" s="8">
        <f>CHOOSE( CONTROL!$C$33, 7.3291, 7.3275) * CHOOSE(CONTROL!$C$16, $D$11, 100%, $F$11)</f>
        <v>7.3291000000000004</v>
      </c>
      <c r="J217" s="4">
        <f>CHOOSE( CONTROL!$C$33, 7.2001, 7.1984) * CHOOSE(CONTROL!$C$16, $D$11, 100%, $F$11)</f>
        <v>7.2000999999999999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1.2509999999999999</v>
      </c>
      <c r="Q217" s="9">
        <v>30.322800000000001</v>
      </c>
      <c r="R217" s="9"/>
      <c r="S217" s="11"/>
    </row>
    <row r="218" spans="1:19" ht="15.75">
      <c r="A218" s="13">
        <v>47757</v>
      </c>
      <c r="B218" s="8">
        <f>CHOOSE( CONTROL!$C$33, 7.7573, 7.7562) * CHOOSE(CONTROL!$C$16, $D$11, 100%, $F$11)</f>
        <v>7.7572999999999999</v>
      </c>
      <c r="C218" s="8">
        <f>CHOOSE( CONTROL!$C$33, 7.7626, 7.7615) * CHOOSE(CONTROL!$C$16, $D$11, 100%, $F$11)</f>
        <v>7.7625999999999999</v>
      </c>
      <c r="D218" s="8">
        <f>CHOOSE( CONTROL!$C$33, 7.787, 7.7859) * CHOOSE( CONTROL!$C$16, $D$11, 100%, $F$11)</f>
        <v>7.7869999999999999</v>
      </c>
      <c r="E218" s="12">
        <f>CHOOSE( CONTROL!$C$33, 7.7784, 7.7773) * CHOOSE( CONTROL!$C$16, $D$11, 100%, $F$11)</f>
        <v>7.7784000000000004</v>
      </c>
      <c r="F218" s="4">
        <f>CHOOSE( CONTROL!$C$33, 8.4865, 8.4855) * CHOOSE(CONTROL!$C$16, $D$11, 100%, $F$11)</f>
        <v>8.4864999999999995</v>
      </c>
      <c r="G218" s="8">
        <f>CHOOSE( CONTROL!$C$33, 7.6974, 7.6963) * CHOOSE( CONTROL!$C$16, $D$11, 100%, $F$11)</f>
        <v>7.6974</v>
      </c>
      <c r="H218" s="4">
        <f>CHOOSE( CONTROL!$C$33, 8.6338, 8.6327) * CHOOSE(CONTROL!$C$16, $D$11, 100%, $F$11)</f>
        <v>8.6338000000000008</v>
      </c>
      <c r="I218" s="8">
        <f>CHOOSE( CONTROL!$C$33, 7.6494, 7.6483) * CHOOSE(CONTROL!$C$16, $D$11, 100%, $F$11)</f>
        <v>7.6494</v>
      </c>
      <c r="J218" s="4">
        <f>CHOOSE( CONTROL!$C$33, 7.5193, 7.5182) * CHOOSE(CONTROL!$C$16, $D$11, 100%, $F$11)</f>
        <v>7.5193000000000003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1.2927</v>
      </c>
      <c r="Q218" s="9">
        <v>31.333600000000001</v>
      </c>
      <c r="R218" s="9"/>
      <c r="S218" s="11"/>
    </row>
    <row r="219" spans="1:19" ht="15.75">
      <c r="A219" s="13">
        <v>47788</v>
      </c>
      <c r="B219" s="8">
        <f>CHOOSE( CONTROL!$C$33, 8.3651, 8.364) * CHOOSE(CONTROL!$C$16, $D$11, 100%, $F$11)</f>
        <v>8.3651</v>
      </c>
      <c r="C219" s="8">
        <f>CHOOSE( CONTROL!$C$33, 8.3701, 8.369) * CHOOSE(CONTROL!$C$16, $D$11, 100%, $F$11)</f>
        <v>8.3701000000000008</v>
      </c>
      <c r="D219" s="8">
        <f>CHOOSE( CONTROL!$C$33, 8.3605, 8.3594) * CHOOSE( CONTROL!$C$16, $D$11, 100%, $F$11)</f>
        <v>8.3605</v>
      </c>
      <c r="E219" s="12">
        <f>CHOOSE( CONTROL!$C$33, 8.3635, 8.3624) * CHOOSE( CONTROL!$C$16, $D$11, 100%, $F$11)</f>
        <v>8.3635000000000002</v>
      </c>
      <c r="F219" s="4">
        <f>CHOOSE( CONTROL!$C$33, 9.0252, 9.0241) * CHOOSE(CONTROL!$C$16, $D$11, 100%, $F$11)</f>
        <v>9.0251999999999999</v>
      </c>
      <c r="G219" s="8">
        <f>CHOOSE( CONTROL!$C$33, 8.285, 8.2839) * CHOOSE( CONTROL!$C$16, $D$11, 100%, $F$11)</f>
        <v>8.2850000000000001</v>
      </c>
      <c r="H219" s="4">
        <f>CHOOSE( CONTROL!$C$33, 9.1661, 9.1651) * CHOOSE(CONTROL!$C$16, $D$11, 100%, $F$11)</f>
        <v>9.1661000000000001</v>
      </c>
      <c r="I219" s="8">
        <f>CHOOSE( CONTROL!$C$33, 8.2993, 8.2982) * CHOOSE(CONTROL!$C$16, $D$11, 100%, $F$11)</f>
        <v>8.2993000000000006</v>
      </c>
      <c r="J219" s="4">
        <f>CHOOSE( CONTROL!$C$33, 8.1095, 8.1085) * CHOOSE(CONTROL!$C$16, $D$11, 100%, $F$11)</f>
        <v>8.1095000000000006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30.322800000000001</v>
      </c>
      <c r="R219" s="9"/>
      <c r="S219" s="11"/>
    </row>
    <row r="220" spans="1:19" ht="15.75">
      <c r="A220" s="13">
        <v>47818</v>
      </c>
      <c r="B220" s="8">
        <f>CHOOSE( CONTROL!$C$33, 8.3499, 8.3488) * CHOOSE(CONTROL!$C$16, $D$11, 100%, $F$11)</f>
        <v>8.3498999999999999</v>
      </c>
      <c r="C220" s="8">
        <f>CHOOSE( CONTROL!$C$33, 8.3549, 8.3538) * CHOOSE(CONTROL!$C$16, $D$11, 100%, $F$11)</f>
        <v>8.3549000000000007</v>
      </c>
      <c r="D220" s="8">
        <f>CHOOSE( CONTROL!$C$33, 8.3468, 8.3457) * CHOOSE( CONTROL!$C$16, $D$11, 100%, $F$11)</f>
        <v>8.3468</v>
      </c>
      <c r="E220" s="12">
        <f>CHOOSE( CONTROL!$C$33, 8.3492, 8.3481) * CHOOSE( CONTROL!$C$16, $D$11, 100%, $F$11)</f>
        <v>8.3491999999999997</v>
      </c>
      <c r="F220" s="4">
        <f>CHOOSE( CONTROL!$C$33, 9.01, 9.0089) * CHOOSE(CONTROL!$C$16, $D$11, 100%, $F$11)</f>
        <v>9.01</v>
      </c>
      <c r="G220" s="8">
        <f>CHOOSE( CONTROL!$C$33, 8.271, 8.2699) * CHOOSE( CONTROL!$C$16, $D$11, 100%, $F$11)</f>
        <v>8.2710000000000008</v>
      </c>
      <c r="H220" s="4">
        <f>CHOOSE( CONTROL!$C$33, 9.1511, 9.15) * CHOOSE(CONTROL!$C$16, $D$11, 100%, $F$11)</f>
        <v>9.1510999999999996</v>
      </c>
      <c r="I220" s="8">
        <f>CHOOSE( CONTROL!$C$33, 8.2889, 8.2879) * CHOOSE(CONTROL!$C$16, $D$11, 100%, $F$11)</f>
        <v>8.2888999999999999</v>
      </c>
      <c r="J220" s="4">
        <f>CHOOSE( CONTROL!$C$33, 8.0948, 8.0937) * CHOOSE(CONTROL!$C$16, $D$11, 100%, $F$11)</f>
        <v>8.0947999999999993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31.333600000000001</v>
      </c>
      <c r="R220" s="9"/>
      <c r="S220" s="11"/>
    </row>
    <row r="221" spans="1:19" ht="15.75">
      <c r="A221" s="13">
        <v>47849</v>
      </c>
      <c r="B221" s="8">
        <f>CHOOSE( CONTROL!$C$33, 8.5959, 8.5948) * CHOOSE(CONTROL!$C$16, $D$11, 100%, $F$11)</f>
        <v>8.5959000000000003</v>
      </c>
      <c r="C221" s="8">
        <f>CHOOSE( CONTROL!$C$33, 8.6009, 8.5998) * CHOOSE(CONTROL!$C$16, $D$11, 100%, $F$11)</f>
        <v>8.6008999999999993</v>
      </c>
      <c r="D221" s="8">
        <f>CHOOSE( CONTROL!$C$33, 8.6036, 8.6025) * CHOOSE( CONTROL!$C$16, $D$11, 100%, $F$11)</f>
        <v>8.6036000000000001</v>
      </c>
      <c r="E221" s="12">
        <f>CHOOSE( CONTROL!$C$33, 8.6021, 8.601) * CHOOSE( CONTROL!$C$16, $D$11, 100%, $F$11)</f>
        <v>8.6021000000000001</v>
      </c>
      <c r="F221" s="4">
        <f>CHOOSE( CONTROL!$C$33, 9.256, 9.2549) * CHOOSE(CONTROL!$C$16, $D$11, 100%, $F$11)</f>
        <v>9.2560000000000002</v>
      </c>
      <c r="G221" s="8">
        <f>CHOOSE( CONTROL!$C$33, 8.517, 8.5159) * CHOOSE( CONTROL!$C$16, $D$11, 100%, $F$11)</f>
        <v>8.5169999999999995</v>
      </c>
      <c r="H221" s="4">
        <f>CHOOSE( CONTROL!$C$33, 9.3942, 9.3932) * CHOOSE(CONTROL!$C$16, $D$11, 100%, $F$11)</f>
        <v>9.3941999999999997</v>
      </c>
      <c r="I221" s="8">
        <f>CHOOSE( CONTROL!$C$33, 8.4993, 8.4982) * CHOOSE(CONTROL!$C$16, $D$11, 100%, $F$11)</f>
        <v>8.4992999999999999</v>
      </c>
      <c r="J221" s="4">
        <f>CHOOSE( CONTROL!$C$33, 8.3335, 8.3325) * CHOOSE(CONTROL!$C$16, $D$11, 100%, $F$11)</f>
        <v>8.3335000000000008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31.026700000000002</v>
      </c>
      <c r="R221" s="9"/>
      <c r="S221" s="11"/>
    </row>
    <row r="222" spans="1:19" ht="15.75">
      <c r="A222" s="13">
        <v>47880</v>
      </c>
      <c r="B222" s="8">
        <f>CHOOSE( CONTROL!$C$33, 8.0408, 8.0397) * CHOOSE(CONTROL!$C$16, $D$11, 100%, $F$11)</f>
        <v>8.0408000000000008</v>
      </c>
      <c r="C222" s="8">
        <f>CHOOSE( CONTROL!$C$33, 8.0459, 8.0448) * CHOOSE(CONTROL!$C$16, $D$11, 100%, $F$11)</f>
        <v>8.0458999999999996</v>
      </c>
      <c r="D222" s="8">
        <f>CHOOSE( CONTROL!$C$33, 8.0484, 8.0473) * CHOOSE( CONTROL!$C$16, $D$11, 100%, $F$11)</f>
        <v>8.0484000000000009</v>
      </c>
      <c r="E222" s="12">
        <f>CHOOSE( CONTROL!$C$33, 8.0469, 8.0458) * CHOOSE( CONTROL!$C$16, $D$11, 100%, $F$11)</f>
        <v>8.0469000000000008</v>
      </c>
      <c r="F222" s="4">
        <f>CHOOSE( CONTROL!$C$33, 8.7009, 8.6998) * CHOOSE(CONTROL!$C$16, $D$11, 100%, $F$11)</f>
        <v>8.7009000000000007</v>
      </c>
      <c r="G222" s="8">
        <f>CHOOSE( CONTROL!$C$33, 7.9683, 7.9673) * CHOOSE( CONTROL!$C$16, $D$11, 100%, $F$11)</f>
        <v>7.9683000000000002</v>
      </c>
      <c r="H222" s="4">
        <f>CHOOSE( CONTROL!$C$33, 8.8457, 8.8446) * CHOOSE(CONTROL!$C$16, $D$11, 100%, $F$11)</f>
        <v>8.8457000000000008</v>
      </c>
      <c r="I222" s="8">
        <f>CHOOSE( CONTROL!$C$33, 7.9601, 7.959) * CHOOSE(CONTROL!$C$16, $D$11, 100%, $F$11)</f>
        <v>7.9600999999999997</v>
      </c>
      <c r="J222" s="4">
        <f>CHOOSE( CONTROL!$C$33, 7.7948, 7.7938) * CHOOSE(CONTROL!$C$16, $D$11, 100%, $F$11)</f>
        <v>7.7948000000000004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28.024100000000001</v>
      </c>
      <c r="R222" s="9"/>
      <c r="S222" s="11"/>
    </row>
    <row r="223" spans="1:19" ht="15.75">
      <c r="A223" s="13">
        <v>47908</v>
      </c>
      <c r="B223" s="8">
        <f>CHOOSE( CONTROL!$C$33, 7.8698, 7.8688) * CHOOSE(CONTROL!$C$16, $D$11, 100%, $F$11)</f>
        <v>7.8697999999999997</v>
      </c>
      <c r="C223" s="8">
        <f>CHOOSE( CONTROL!$C$33, 7.8749, 7.8738) * CHOOSE(CONTROL!$C$16, $D$11, 100%, $F$11)</f>
        <v>7.8749000000000002</v>
      </c>
      <c r="D223" s="8">
        <f>CHOOSE( CONTROL!$C$33, 7.8768, 7.8757) * CHOOSE( CONTROL!$C$16, $D$11, 100%, $F$11)</f>
        <v>7.8768000000000002</v>
      </c>
      <c r="E223" s="12">
        <f>CHOOSE( CONTROL!$C$33, 7.8756, 7.8745) * CHOOSE( CONTROL!$C$16, $D$11, 100%, $F$11)</f>
        <v>7.8756000000000004</v>
      </c>
      <c r="F223" s="4">
        <f>CHOOSE( CONTROL!$C$33, 8.53, 8.5289) * CHOOSE(CONTROL!$C$16, $D$11, 100%, $F$11)</f>
        <v>8.5299999999999994</v>
      </c>
      <c r="G223" s="8">
        <f>CHOOSE( CONTROL!$C$33, 7.7989, 7.7978) * CHOOSE( CONTROL!$C$16, $D$11, 100%, $F$11)</f>
        <v>7.7988999999999997</v>
      </c>
      <c r="H223" s="4">
        <f>CHOOSE( CONTROL!$C$33, 8.6767, 8.6757) * CHOOSE(CONTROL!$C$16, $D$11, 100%, $F$11)</f>
        <v>8.6767000000000003</v>
      </c>
      <c r="I223" s="8">
        <f>CHOOSE( CONTROL!$C$33, 7.792, 7.7909) * CHOOSE(CONTROL!$C$16, $D$11, 100%, $F$11)</f>
        <v>7.7919999999999998</v>
      </c>
      <c r="J223" s="4">
        <f>CHOOSE( CONTROL!$C$33, 7.6289, 7.6279) * CHOOSE(CONTROL!$C$16, $D$11, 100%, $F$11)</f>
        <v>7.6288999999999998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31.026700000000002</v>
      </c>
      <c r="R223" s="9"/>
      <c r="S223" s="11"/>
    </row>
    <row r="224" spans="1:19" ht="15.75">
      <c r="A224" s="13">
        <v>47939</v>
      </c>
      <c r="B224" s="8">
        <f>CHOOSE( CONTROL!$C$33, 7.9901, 7.989) * CHOOSE(CONTROL!$C$16, $D$11, 100%, $F$11)</f>
        <v>7.9901</v>
      </c>
      <c r="C224" s="8">
        <f>CHOOSE( CONTROL!$C$33, 7.9946, 7.9935) * CHOOSE(CONTROL!$C$16, $D$11, 100%, $F$11)</f>
        <v>7.9946000000000002</v>
      </c>
      <c r="D224" s="8">
        <f>CHOOSE( CONTROL!$C$33, 8.0189, 8.0178) * CHOOSE( CONTROL!$C$16, $D$11, 100%, $F$11)</f>
        <v>8.0189000000000004</v>
      </c>
      <c r="E224" s="12">
        <f>CHOOSE( CONTROL!$C$33, 8.0104, 8.0093) * CHOOSE( CONTROL!$C$16, $D$11, 100%, $F$11)</f>
        <v>8.0104000000000006</v>
      </c>
      <c r="F224" s="4">
        <f>CHOOSE( CONTROL!$C$33, 8.719, 8.7179) * CHOOSE(CONTROL!$C$16, $D$11, 100%, $F$11)</f>
        <v>8.7189999999999994</v>
      </c>
      <c r="G224" s="8">
        <f>CHOOSE( CONTROL!$C$33, 7.9267, 7.9256) * CHOOSE( CONTROL!$C$16, $D$11, 100%, $F$11)</f>
        <v>7.9267000000000003</v>
      </c>
      <c r="H224" s="4">
        <f>CHOOSE( CONTROL!$C$33, 8.8635, 8.8625) * CHOOSE(CONTROL!$C$16, $D$11, 100%, $F$11)</f>
        <v>8.8635000000000002</v>
      </c>
      <c r="I224" s="8">
        <f>CHOOSE( CONTROL!$C$33, 7.8732, 7.8721) * CHOOSE(CONTROL!$C$16, $D$11, 100%, $F$11)</f>
        <v>7.8731999999999998</v>
      </c>
      <c r="J224" s="4">
        <f>CHOOSE( CONTROL!$C$33, 7.7449, 7.7438) * CHOOSE(CONTROL!$C$16, $D$11, 100%, $F$11)</f>
        <v>7.7449000000000003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1.2509999999999999</v>
      </c>
      <c r="Q224" s="9">
        <v>30.0258</v>
      </c>
      <c r="R224" s="9"/>
      <c r="S224" s="11"/>
    </row>
    <row r="225" spans="1:19" ht="15.75">
      <c r="A225" s="13">
        <v>47969</v>
      </c>
      <c r="B225" s="8">
        <f>CHOOSE( CONTROL!$C$33, 8.2046, 8.203) * CHOOSE(CONTROL!$C$16, $D$11, 100%, $F$11)</f>
        <v>8.2045999999999992</v>
      </c>
      <c r="C225" s="8">
        <f>CHOOSE( CONTROL!$C$33, 8.2126, 8.2109) * CHOOSE(CONTROL!$C$16, $D$11, 100%, $F$11)</f>
        <v>8.2126000000000001</v>
      </c>
      <c r="D225" s="8">
        <f>CHOOSE( CONTROL!$C$33, 8.2309, 8.2292) * CHOOSE( CONTROL!$C$16, $D$11, 100%, $F$11)</f>
        <v>8.2309000000000001</v>
      </c>
      <c r="E225" s="12">
        <f>CHOOSE( CONTROL!$C$33, 8.223, 8.2214) * CHOOSE( CONTROL!$C$16, $D$11, 100%, $F$11)</f>
        <v>8.2230000000000008</v>
      </c>
      <c r="F225" s="4">
        <f>CHOOSE( CONTROL!$C$33, 8.9322, 8.9305) * CHOOSE(CONTROL!$C$16, $D$11, 100%, $F$11)</f>
        <v>8.9321999999999999</v>
      </c>
      <c r="G225" s="8">
        <f>CHOOSE( CONTROL!$C$33, 8.1372, 8.1356) * CHOOSE( CONTROL!$C$16, $D$11, 100%, $F$11)</f>
        <v>8.1372</v>
      </c>
      <c r="H225" s="4">
        <f>CHOOSE( CONTROL!$C$33, 9.0742, 9.0726) * CHOOSE(CONTROL!$C$16, $D$11, 100%, $F$11)</f>
        <v>9.0741999999999994</v>
      </c>
      <c r="I225" s="8">
        <f>CHOOSE( CONTROL!$C$33, 8.0796, 8.078) * CHOOSE(CONTROL!$C$16, $D$11, 100%, $F$11)</f>
        <v>8.0795999999999992</v>
      </c>
      <c r="J225" s="4">
        <f>CHOOSE( CONTROL!$C$33, 7.9518, 7.9502) * CHOOSE(CONTROL!$C$16, $D$11, 100%, $F$11)</f>
        <v>7.9518000000000004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1.2927</v>
      </c>
      <c r="Q225" s="9">
        <v>31.026700000000002</v>
      </c>
      <c r="R225" s="9"/>
      <c r="S225" s="11"/>
    </row>
    <row r="226" spans="1:19" ht="15.75">
      <c r="A226" s="13">
        <v>48000</v>
      </c>
      <c r="B226" s="8">
        <f>CHOOSE( CONTROL!$C$33, 8.0729, 8.0713) * CHOOSE(CONTROL!$C$16, $D$11, 100%, $F$11)</f>
        <v>8.0729000000000006</v>
      </c>
      <c r="C226" s="8">
        <f>CHOOSE( CONTROL!$C$33, 8.0809, 8.0792) * CHOOSE(CONTROL!$C$16, $D$11, 100%, $F$11)</f>
        <v>8.0808999999999997</v>
      </c>
      <c r="D226" s="8">
        <f>CHOOSE( CONTROL!$C$33, 8.0994, 8.0978) * CHOOSE( CONTROL!$C$16, $D$11, 100%, $F$11)</f>
        <v>8.0993999999999993</v>
      </c>
      <c r="E226" s="12">
        <f>CHOOSE( CONTROL!$C$33, 8.0915, 8.0899) * CHOOSE( CONTROL!$C$16, $D$11, 100%, $F$11)</f>
        <v>8.0914999999999999</v>
      </c>
      <c r="F226" s="4">
        <f>CHOOSE( CONTROL!$C$33, 8.8005, 8.7988) * CHOOSE(CONTROL!$C$16, $D$11, 100%, $F$11)</f>
        <v>8.8004999999999995</v>
      </c>
      <c r="G226" s="8">
        <f>CHOOSE( CONTROL!$C$33, 8.0073, 8.0056) * CHOOSE( CONTROL!$C$16, $D$11, 100%, $F$11)</f>
        <v>8.0073000000000008</v>
      </c>
      <c r="H226" s="4">
        <f>CHOOSE( CONTROL!$C$33, 8.944, 8.9424) * CHOOSE(CONTROL!$C$16, $D$11, 100%, $F$11)</f>
        <v>8.9440000000000008</v>
      </c>
      <c r="I226" s="8">
        <f>CHOOSE( CONTROL!$C$33, 7.9525, 7.9509) * CHOOSE(CONTROL!$C$16, $D$11, 100%, $F$11)</f>
        <v>7.9524999999999997</v>
      </c>
      <c r="J226" s="4">
        <f>CHOOSE( CONTROL!$C$33, 7.8239, 7.8223) * CHOOSE(CONTROL!$C$16, $D$11, 100%, $F$11)</f>
        <v>7.8239000000000001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1.2509999999999999</v>
      </c>
      <c r="Q226" s="9">
        <v>30.0258</v>
      </c>
      <c r="R226" s="9"/>
      <c r="S226" s="11"/>
    </row>
    <row r="227" spans="1:19" ht="15.75">
      <c r="A227" s="13">
        <v>48030</v>
      </c>
      <c r="B227" s="8">
        <f>CHOOSE( CONTROL!$C$33, 8.4197, 8.4181) * CHOOSE(CONTROL!$C$16, $D$11, 100%, $F$11)</f>
        <v>8.4197000000000006</v>
      </c>
      <c r="C227" s="8">
        <f>CHOOSE( CONTROL!$C$33, 8.4277, 8.4261) * CHOOSE(CONTROL!$C$16, $D$11, 100%, $F$11)</f>
        <v>8.4276999999999997</v>
      </c>
      <c r="D227" s="8">
        <f>CHOOSE( CONTROL!$C$33, 8.4465, 8.4449) * CHOOSE( CONTROL!$C$16, $D$11, 100%, $F$11)</f>
        <v>8.4465000000000003</v>
      </c>
      <c r="E227" s="12">
        <f>CHOOSE( CONTROL!$C$33, 8.4385, 8.4369) * CHOOSE( CONTROL!$C$16, $D$11, 100%, $F$11)</f>
        <v>8.4384999999999994</v>
      </c>
      <c r="F227" s="4">
        <f>CHOOSE( CONTROL!$C$33, 9.1473, 9.1456) * CHOOSE(CONTROL!$C$16, $D$11, 100%, $F$11)</f>
        <v>9.1472999999999995</v>
      </c>
      <c r="G227" s="8">
        <f>CHOOSE( CONTROL!$C$33, 8.3502, 8.3486) * CHOOSE( CONTROL!$C$16, $D$11, 100%, $F$11)</f>
        <v>8.3501999999999992</v>
      </c>
      <c r="H227" s="4">
        <f>CHOOSE( CONTROL!$C$33, 9.2868, 9.2852) * CHOOSE(CONTROL!$C$16, $D$11, 100%, $F$11)</f>
        <v>9.2867999999999995</v>
      </c>
      <c r="I227" s="8">
        <f>CHOOSE( CONTROL!$C$33, 8.2902, 8.2886) * CHOOSE(CONTROL!$C$16, $D$11, 100%, $F$11)</f>
        <v>8.2902000000000005</v>
      </c>
      <c r="J227" s="4">
        <f>CHOOSE( CONTROL!$C$33, 8.1605, 8.1589) * CHOOSE(CONTROL!$C$16, $D$11, 100%, $F$11)</f>
        <v>8.1605000000000008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1.2927</v>
      </c>
      <c r="Q227" s="9">
        <v>31.026700000000002</v>
      </c>
      <c r="R227" s="9"/>
      <c r="S227" s="11"/>
    </row>
    <row r="228" spans="1:19" ht="15.75">
      <c r="A228" s="13">
        <v>48061</v>
      </c>
      <c r="B228" s="8">
        <f>CHOOSE( CONTROL!$C$33, 7.7708, 7.7691) * CHOOSE(CONTROL!$C$16, $D$11, 100%, $F$11)</f>
        <v>7.7708000000000004</v>
      </c>
      <c r="C228" s="8">
        <f>CHOOSE( CONTROL!$C$33, 7.7788, 7.7771) * CHOOSE(CONTROL!$C$16, $D$11, 100%, $F$11)</f>
        <v>7.7788000000000004</v>
      </c>
      <c r="D228" s="8">
        <f>CHOOSE( CONTROL!$C$33, 7.7976, 7.796) * CHOOSE( CONTROL!$C$16, $D$11, 100%, $F$11)</f>
        <v>7.7976000000000001</v>
      </c>
      <c r="E228" s="12">
        <f>CHOOSE( CONTROL!$C$33, 7.7896, 7.7879) * CHOOSE( CONTROL!$C$16, $D$11, 100%, $F$11)</f>
        <v>7.7896000000000001</v>
      </c>
      <c r="F228" s="4">
        <f>CHOOSE( CONTROL!$C$33, 8.4983, 8.4967) * CHOOSE(CONTROL!$C$16, $D$11, 100%, $F$11)</f>
        <v>8.4983000000000004</v>
      </c>
      <c r="G228" s="8">
        <f>CHOOSE( CONTROL!$C$33, 7.7089, 7.7073) * CHOOSE( CONTROL!$C$16, $D$11, 100%, $F$11)</f>
        <v>7.7088999999999999</v>
      </c>
      <c r="H228" s="4">
        <f>CHOOSE( CONTROL!$C$33, 8.6455, 8.6438) * CHOOSE(CONTROL!$C$16, $D$11, 100%, $F$11)</f>
        <v>8.6455000000000002</v>
      </c>
      <c r="I228" s="8">
        <f>CHOOSE( CONTROL!$C$33, 7.6603, 7.6587) * CHOOSE(CONTROL!$C$16, $D$11, 100%, $F$11)</f>
        <v>7.6603000000000003</v>
      </c>
      <c r="J228" s="4">
        <f>CHOOSE( CONTROL!$C$33, 7.5307, 7.5291) * CHOOSE(CONTROL!$C$16, $D$11, 100%, $F$11)</f>
        <v>7.5307000000000004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1.2927</v>
      </c>
      <c r="Q228" s="9">
        <v>31.026700000000002</v>
      </c>
      <c r="R228" s="9"/>
      <c r="S228" s="11"/>
    </row>
    <row r="229" spans="1:19" ht="15.75">
      <c r="A229" s="13">
        <v>48092</v>
      </c>
      <c r="B229" s="8">
        <f>CHOOSE( CONTROL!$C$33, 7.6083, 7.6066) * CHOOSE(CONTROL!$C$16, $D$11, 100%, $F$11)</f>
        <v>7.6082999999999998</v>
      </c>
      <c r="C229" s="8">
        <f>CHOOSE( CONTROL!$C$33, 7.6163, 7.6146) * CHOOSE(CONTROL!$C$16, $D$11, 100%, $F$11)</f>
        <v>7.6162999999999998</v>
      </c>
      <c r="D229" s="8">
        <f>CHOOSE( CONTROL!$C$33, 7.635, 7.6334) * CHOOSE( CONTROL!$C$16, $D$11, 100%, $F$11)</f>
        <v>7.6349999999999998</v>
      </c>
      <c r="E229" s="12">
        <f>CHOOSE( CONTROL!$C$33, 7.627, 7.6254) * CHOOSE( CONTROL!$C$16, $D$11, 100%, $F$11)</f>
        <v>7.6269999999999998</v>
      </c>
      <c r="F229" s="4">
        <f>CHOOSE( CONTROL!$C$33, 8.3358, 8.3342) * CHOOSE(CONTROL!$C$16, $D$11, 100%, $F$11)</f>
        <v>8.3358000000000008</v>
      </c>
      <c r="G229" s="8">
        <f>CHOOSE( CONTROL!$C$33, 7.5483, 7.5466) * CHOOSE( CONTROL!$C$16, $D$11, 100%, $F$11)</f>
        <v>7.5483000000000002</v>
      </c>
      <c r="H229" s="4">
        <f>CHOOSE( CONTROL!$C$33, 8.4849, 8.4832) * CHOOSE(CONTROL!$C$16, $D$11, 100%, $F$11)</f>
        <v>8.4848999999999997</v>
      </c>
      <c r="I229" s="8">
        <f>CHOOSE( CONTROL!$C$33, 7.5021, 7.5005) * CHOOSE(CONTROL!$C$16, $D$11, 100%, $F$11)</f>
        <v>7.5021000000000004</v>
      </c>
      <c r="J229" s="4">
        <f>CHOOSE( CONTROL!$C$33, 7.373, 7.3714) * CHOOSE(CONTROL!$C$16, $D$11, 100%, $F$11)</f>
        <v>7.3730000000000002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1.2509999999999999</v>
      </c>
      <c r="Q229" s="9">
        <v>30.0258</v>
      </c>
      <c r="R229" s="9"/>
      <c r="S229" s="11"/>
    </row>
    <row r="230" spans="1:19" ht="15.75">
      <c r="A230" s="13">
        <v>48122</v>
      </c>
      <c r="B230" s="8">
        <f>CHOOSE( CONTROL!$C$33, 7.9434, 7.9423) * CHOOSE(CONTROL!$C$16, $D$11, 100%, $F$11)</f>
        <v>7.9433999999999996</v>
      </c>
      <c r="C230" s="8">
        <f>CHOOSE( CONTROL!$C$33, 7.9487, 7.9476) * CHOOSE(CONTROL!$C$16, $D$11, 100%, $F$11)</f>
        <v>7.9486999999999997</v>
      </c>
      <c r="D230" s="8">
        <f>CHOOSE( CONTROL!$C$33, 7.9731, 7.9721) * CHOOSE( CONTROL!$C$16, $D$11, 100%, $F$11)</f>
        <v>7.9730999999999996</v>
      </c>
      <c r="E230" s="12">
        <f>CHOOSE( CONTROL!$C$33, 7.9645, 7.9634) * CHOOSE( CONTROL!$C$16, $D$11, 100%, $F$11)</f>
        <v>7.9645000000000001</v>
      </c>
      <c r="F230" s="4">
        <f>CHOOSE( CONTROL!$C$33, 8.6727, 8.6716) * CHOOSE(CONTROL!$C$16, $D$11, 100%, $F$11)</f>
        <v>8.6727000000000007</v>
      </c>
      <c r="G230" s="8">
        <f>CHOOSE( CONTROL!$C$33, 7.8813, 7.8803) * CHOOSE( CONTROL!$C$16, $D$11, 100%, $F$11)</f>
        <v>7.8813000000000004</v>
      </c>
      <c r="H230" s="4">
        <f>CHOOSE( CONTROL!$C$33, 8.8178, 8.8167) * CHOOSE(CONTROL!$C$16, $D$11, 100%, $F$11)</f>
        <v>8.8178000000000001</v>
      </c>
      <c r="I230" s="8">
        <f>CHOOSE( CONTROL!$C$33, 7.8301, 7.8291) * CHOOSE(CONTROL!$C$16, $D$11, 100%, $F$11)</f>
        <v>7.8300999999999998</v>
      </c>
      <c r="J230" s="4">
        <f>CHOOSE( CONTROL!$C$33, 7.6999, 7.6989) * CHOOSE(CONTROL!$C$16, $D$11, 100%, $F$11)</f>
        <v>7.6999000000000004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1.2927</v>
      </c>
      <c r="Q230" s="9">
        <v>31.026700000000002</v>
      </c>
      <c r="R230" s="9"/>
      <c r="S230" s="11"/>
    </row>
    <row r="231" spans="1:19" ht="15.75">
      <c r="A231" s="13">
        <v>48153</v>
      </c>
      <c r="B231" s="8">
        <f>CHOOSE( CONTROL!$C$33, 8.5658, 8.5647) * CHOOSE(CONTROL!$C$16, $D$11, 100%, $F$11)</f>
        <v>8.5657999999999994</v>
      </c>
      <c r="C231" s="8">
        <f>CHOOSE( CONTROL!$C$33, 8.5709, 8.5698) * CHOOSE(CONTROL!$C$16, $D$11, 100%, $F$11)</f>
        <v>8.5709</v>
      </c>
      <c r="D231" s="8">
        <f>CHOOSE( CONTROL!$C$33, 8.5613, 8.5602) * CHOOSE( CONTROL!$C$16, $D$11, 100%, $F$11)</f>
        <v>8.5612999999999992</v>
      </c>
      <c r="E231" s="12">
        <f>CHOOSE( CONTROL!$C$33, 8.5643, 8.5632) * CHOOSE( CONTROL!$C$16, $D$11, 100%, $F$11)</f>
        <v>8.5642999999999994</v>
      </c>
      <c r="F231" s="4">
        <f>CHOOSE( CONTROL!$C$33, 9.2259, 9.2248) * CHOOSE(CONTROL!$C$16, $D$11, 100%, $F$11)</f>
        <v>9.2258999999999993</v>
      </c>
      <c r="G231" s="8">
        <f>CHOOSE( CONTROL!$C$33, 8.4834, 8.4823) * CHOOSE( CONTROL!$C$16, $D$11, 100%, $F$11)</f>
        <v>8.4833999999999996</v>
      </c>
      <c r="H231" s="4">
        <f>CHOOSE( CONTROL!$C$33, 9.3645, 9.3635) * CHOOSE(CONTROL!$C$16, $D$11, 100%, $F$11)</f>
        <v>9.3644999999999996</v>
      </c>
      <c r="I231" s="8">
        <f>CHOOSE( CONTROL!$C$33, 8.4942, 8.4931) * CHOOSE(CONTROL!$C$16, $D$11, 100%, $F$11)</f>
        <v>8.4941999999999993</v>
      </c>
      <c r="J231" s="4">
        <f>CHOOSE( CONTROL!$C$33, 8.3044, 8.3033) * CHOOSE(CONTROL!$C$16, $D$11, 100%, $F$11)</f>
        <v>8.3043999999999993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30.0258</v>
      </c>
      <c r="R231" s="9"/>
      <c r="S231" s="11"/>
    </row>
    <row r="232" spans="1:19" ht="15.75">
      <c r="A232" s="13">
        <v>48183</v>
      </c>
      <c r="B232" s="8">
        <f>CHOOSE( CONTROL!$C$33, 8.5502, 8.5492) * CHOOSE(CONTROL!$C$16, $D$11, 100%, $F$11)</f>
        <v>8.5502000000000002</v>
      </c>
      <c r="C232" s="8">
        <f>CHOOSE( CONTROL!$C$33, 8.5553, 8.5542) * CHOOSE(CONTROL!$C$16, $D$11, 100%, $F$11)</f>
        <v>8.5553000000000008</v>
      </c>
      <c r="D232" s="8">
        <f>CHOOSE( CONTROL!$C$33, 8.5471, 8.5461) * CHOOSE( CONTROL!$C$16, $D$11, 100%, $F$11)</f>
        <v>8.5471000000000004</v>
      </c>
      <c r="E232" s="12">
        <f>CHOOSE( CONTROL!$C$33, 8.5496, 8.5485) * CHOOSE( CONTROL!$C$16, $D$11, 100%, $F$11)</f>
        <v>8.5495999999999999</v>
      </c>
      <c r="F232" s="4">
        <f>CHOOSE( CONTROL!$C$33, 9.2104, 9.2093) * CHOOSE(CONTROL!$C$16, $D$11, 100%, $F$11)</f>
        <v>9.2103999999999999</v>
      </c>
      <c r="G232" s="8">
        <f>CHOOSE( CONTROL!$C$33, 8.469, 8.468) * CHOOSE( CONTROL!$C$16, $D$11, 100%, $F$11)</f>
        <v>8.4689999999999994</v>
      </c>
      <c r="H232" s="4">
        <f>CHOOSE( CONTROL!$C$33, 9.3492, 9.3481) * CHOOSE(CONTROL!$C$16, $D$11, 100%, $F$11)</f>
        <v>9.3491999999999997</v>
      </c>
      <c r="I232" s="8">
        <f>CHOOSE( CONTROL!$C$33, 8.4835, 8.4825) * CHOOSE(CONTROL!$C$16, $D$11, 100%, $F$11)</f>
        <v>8.4834999999999994</v>
      </c>
      <c r="J232" s="4">
        <f>CHOOSE( CONTROL!$C$33, 8.2893, 8.2882) * CHOOSE(CONTROL!$C$16, $D$11, 100%, $F$11)</f>
        <v>8.2893000000000008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31.026700000000002</v>
      </c>
      <c r="R232" s="9"/>
      <c r="S232" s="11"/>
    </row>
    <row r="233" spans="1:19" ht="15.75">
      <c r="A233" s="13">
        <v>48214</v>
      </c>
      <c r="B233" s="8">
        <f>CHOOSE( CONTROL!$C$33, 8.8021, 8.8011) * CHOOSE(CONTROL!$C$16, $D$11, 100%, $F$11)</f>
        <v>8.8020999999999994</v>
      </c>
      <c r="C233" s="8">
        <f>CHOOSE( CONTROL!$C$33, 8.8072, 8.8061) * CHOOSE(CONTROL!$C$16, $D$11, 100%, $F$11)</f>
        <v>8.8071999999999999</v>
      </c>
      <c r="D233" s="8">
        <f>CHOOSE( CONTROL!$C$33, 8.8099, 8.8088) * CHOOSE( CONTROL!$C$16, $D$11, 100%, $F$11)</f>
        <v>8.8099000000000007</v>
      </c>
      <c r="E233" s="12">
        <f>CHOOSE( CONTROL!$C$33, 8.8084, 8.8073) * CHOOSE( CONTROL!$C$16, $D$11, 100%, $F$11)</f>
        <v>8.8084000000000007</v>
      </c>
      <c r="F233" s="4">
        <f>CHOOSE( CONTROL!$C$33, 9.4623, 9.4612) * CHOOSE(CONTROL!$C$16, $D$11, 100%, $F$11)</f>
        <v>9.4623000000000008</v>
      </c>
      <c r="G233" s="8">
        <f>CHOOSE( CONTROL!$C$33, 8.7208, 8.7198) * CHOOSE( CONTROL!$C$16, $D$11, 100%, $F$11)</f>
        <v>8.7208000000000006</v>
      </c>
      <c r="H233" s="4">
        <f>CHOOSE( CONTROL!$C$33, 9.5981, 9.597) * CHOOSE(CONTROL!$C$16, $D$11, 100%, $F$11)</f>
        <v>9.5981000000000005</v>
      </c>
      <c r="I233" s="8">
        <f>CHOOSE( CONTROL!$C$33, 8.6996, 8.6985) * CHOOSE(CONTROL!$C$16, $D$11, 100%, $F$11)</f>
        <v>8.6996000000000002</v>
      </c>
      <c r="J233" s="4">
        <f>CHOOSE( CONTROL!$C$33, 8.5337, 8.5327) * CHOOSE(CONTROL!$C$16, $D$11, 100%, $F$11)</f>
        <v>8.5336999999999996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30.8704</v>
      </c>
      <c r="R233" s="9"/>
      <c r="S233" s="11"/>
    </row>
    <row r="234" spans="1:19" ht="15.75">
      <c r="A234" s="13">
        <v>48245</v>
      </c>
      <c r="B234" s="8">
        <f>CHOOSE( CONTROL!$C$33, 8.2338, 8.2327) * CHOOSE(CONTROL!$C$16, $D$11, 100%, $F$11)</f>
        <v>8.2338000000000005</v>
      </c>
      <c r="C234" s="8">
        <f>CHOOSE( CONTROL!$C$33, 8.2388, 8.2377) * CHOOSE(CONTROL!$C$16, $D$11, 100%, $F$11)</f>
        <v>8.2387999999999995</v>
      </c>
      <c r="D234" s="8">
        <f>CHOOSE( CONTROL!$C$33, 8.2414, 8.2403) * CHOOSE( CONTROL!$C$16, $D$11, 100%, $F$11)</f>
        <v>8.2414000000000005</v>
      </c>
      <c r="E234" s="12">
        <f>CHOOSE( CONTROL!$C$33, 8.2399, 8.2388) * CHOOSE( CONTROL!$C$16, $D$11, 100%, $F$11)</f>
        <v>8.2399000000000004</v>
      </c>
      <c r="F234" s="4">
        <f>CHOOSE( CONTROL!$C$33, 8.8939, 8.8928) * CHOOSE(CONTROL!$C$16, $D$11, 100%, $F$11)</f>
        <v>8.8939000000000004</v>
      </c>
      <c r="G234" s="8">
        <f>CHOOSE( CONTROL!$C$33, 8.159, 8.158) * CHOOSE( CONTROL!$C$16, $D$11, 100%, $F$11)</f>
        <v>8.1590000000000007</v>
      </c>
      <c r="H234" s="4">
        <f>CHOOSE( CONTROL!$C$33, 9.0364, 9.0353) * CHOOSE(CONTROL!$C$16, $D$11, 100%, $F$11)</f>
        <v>9.0364000000000004</v>
      </c>
      <c r="I234" s="8">
        <f>CHOOSE( CONTROL!$C$33, 8.1474, 8.1464) * CHOOSE(CONTROL!$C$16, $D$11, 100%, $F$11)</f>
        <v>8.1473999999999993</v>
      </c>
      <c r="J234" s="4">
        <f>CHOOSE( CONTROL!$C$33, 7.9821, 7.9811) * CHOOSE(CONTROL!$C$16, $D$11, 100%, $F$11)</f>
        <v>7.9821</v>
      </c>
      <c r="K234" s="4"/>
      <c r="L234" s="9">
        <v>27.415299999999998</v>
      </c>
      <c r="M234" s="9">
        <v>11.285299999999999</v>
      </c>
      <c r="N234" s="9">
        <v>4.6254999999999997</v>
      </c>
      <c r="O234" s="9">
        <v>0.34989999999999999</v>
      </c>
      <c r="P234" s="9">
        <v>1.2093</v>
      </c>
      <c r="Q234" s="9">
        <v>28.878799999999998</v>
      </c>
      <c r="R234" s="9"/>
      <c r="S234" s="11"/>
    </row>
    <row r="235" spans="1:19" ht="15.75">
      <c r="A235" s="13">
        <v>48274</v>
      </c>
      <c r="B235" s="8">
        <f>CHOOSE( CONTROL!$C$33, 8.0587, 8.0576) * CHOOSE(CONTROL!$C$16, $D$11, 100%, $F$11)</f>
        <v>8.0587</v>
      </c>
      <c r="C235" s="8">
        <f>CHOOSE( CONTROL!$C$33, 8.0638, 8.0627) * CHOOSE(CONTROL!$C$16, $D$11, 100%, $F$11)</f>
        <v>8.0638000000000005</v>
      </c>
      <c r="D235" s="8">
        <f>CHOOSE( CONTROL!$C$33, 8.0656, 8.0646) * CHOOSE( CONTROL!$C$16, $D$11, 100%, $F$11)</f>
        <v>8.0655999999999999</v>
      </c>
      <c r="E235" s="12">
        <f>CHOOSE( CONTROL!$C$33, 8.0644, 8.0634) * CHOOSE( CONTROL!$C$16, $D$11, 100%, $F$11)</f>
        <v>8.0643999999999991</v>
      </c>
      <c r="F235" s="4">
        <f>CHOOSE( CONTROL!$C$33, 8.7188, 8.7177) * CHOOSE(CONTROL!$C$16, $D$11, 100%, $F$11)</f>
        <v>8.7187999999999999</v>
      </c>
      <c r="G235" s="8">
        <f>CHOOSE( CONTROL!$C$33, 7.9855, 7.9845) * CHOOSE( CONTROL!$C$16, $D$11, 100%, $F$11)</f>
        <v>7.9855</v>
      </c>
      <c r="H235" s="4">
        <f>CHOOSE( CONTROL!$C$33, 8.8634, 8.8623) * CHOOSE(CONTROL!$C$16, $D$11, 100%, $F$11)</f>
        <v>8.8634000000000004</v>
      </c>
      <c r="I235" s="8">
        <f>CHOOSE( CONTROL!$C$33, 7.9753, 7.9743) * CHOOSE(CONTROL!$C$16, $D$11, 100%, $F$11)</f>
        <v>7.9752999999999998</v>
      </c>
      <c r="J235" s="4">
        <f>CHOOSE( CONTROL!$C$33, 7.8122, 7.8112) * CHOOSE(CONTROL!$C$16, $D$11, 100%, $F$11)</f>
        <v>7.8121999999999998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30.8704</v>
      </c>
      <c r="R235" s="9"/>
      <c r="S235" s="11"/>
    </row>
    <row r="236" spans="1:19" ht="15.75">
      <c r="A236" s="13">
        <v>48305</v>
      </c>
      <c r="B236" s="8">
        <f>CHOOSE( CONTROL!$C$33, 8.1818, 8.1807) * CHOOSE(CONTROL!$C$16, $D$11, 100%, $F$11)</f>
        <v>8.1818000000000008</v>
      </c>
      <c r="C236" s="8">
        <f>CHOOSE( CONTROL!$C$33, 8.1863, 8.1852) * CHOOSE(CONTROL!$C$16, $D$11, 100%, $F$11)</f>
        <v>8.1862999999999992</v>
      </c>
      <c r="D236" s="8">
        <f>CHOOSE( CONTROL!$C$33, 8.2107, 8.2096) * CHOOSE( CONTROL!$C$16, $D$11, 100%, $F$11)</f>
        <v>8.2106999999999992</v>
      </c>
      <c r="E236" s="12">
        <f>CHOOSE( CONTROL!$C$33, 8.2021, 8.201) * CHOOSE( CONTROL!$C$16, $D$11, 100%, $F$11)</f>
        <v>8.2020999999999997</v>
      </c>
      <c r="F236" s="4">
        <f>CHOOSE( CONTROL!$C$33, 8.9107, 8.9096) * CHOOSE(CONTROL!$C$16, $D$11, 100%, $F$11)</f>
        <v>8.9107000000000003</v>
      </c>
      <c r="G236" s="8">
        <f>CHOOSE( CONTROL!$C$33, 8.1161, 8.1151) * CHOOSE( CONTROL!$C$16, $D$11, 100%, $F$11)</f>
        <v>8.1160999999999994</v>
      </c>
      <c r="H236" s="4">
        <f>CHOOSE( CONTROL!$C$33, 9.053, 9.0519) * CHOOSE(CONTROL!$C$16, $D$11, 100%, $F$11)</f>
        <v>9.0530000000000008</v>
      </c>
      <c r="I236" s="8">
        <f>CHOOSE( CONTROL!$C$33, 8.0594, 8.0583) * CHOOSE(CONTROL!$C$16, $D$11, 100%, $F$11)</f>
        <v>8.0594000000000001</v>
      </c>
      <c r="J236" s="4">
        <f>CHOOSE( CONTROL!$C$33, 7.9309, 7.9299) * CHOOSE(CONTROL!$C$16, $D$11, 100%, $F$11)</f>
        <v>7.9309000000000003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1.2509999999999999</v>
      </c>
      <c r="Q236" s="9">
        <v>29.874600000000001</v>
      </c>
      <c r="R236" s="9"/>
      <c r="S236" s="11"/>
    </row>
    <row r="237" spans="1:19" ht="15.75">
      <c r="A237" s="13">
        <v>48335</v>
      </c>
      <c r="B237" s="8">
        <f>CHOOSE( CONTROL!$C$33, 8.4014, 8.3998) * CHOOSE(CONTROL!$C$16, $D$11, 100%, $F$11)</f>
        <v>8.4014000000000006</v>
      </c>
      <c r="C237" s="8">
        <f>CHOOSE( CONTROL!$C$33, 8.4094, 8.4078) * CHOOSE(CONTROL!$C$16, $D$11, 100%, $F$11)</f>
        <v>8.4093999999999998</v>
      </c>
      <c r="D237" s="8">
        <f>CHOOSE( CONTROL!$C$33, 8.4277, 8.4261) * CHOOSE( CONTROL!$C$16, $D$11, 100%, $F$11)</f>
        <v>8.4276999999999997</v>
      </c>
      <c r="E237" s="12">
        <f>CHOOSE( CONTROL!$C$33, 8.4198, 8.4182) * CHOOSE( CONTROL!$C$16, $D$11, 100%, $F$11)</f>
        <v>8.4198000000000004</v>
      </c>
      <c r="F237" s="4">
        <f>CHOOSE( CONTROL!$C$33, 9.129, 9.1273) * CHOOSE(CONTROL!$C$16, $D$11, 100%, $F$11)</f>
        <v>9.1289999999999996</v>
      </c>
      <c r="G237" s="8">
        <f>CHOOSE( CONTROL!$C$33, 8.3318, 8.3301) * CHOOSE( CONTROL!$C$16, $D$11, 100%, $F$11)</f>
        <v>8.3317999999999994</v>
      </c>
      <c r="H237" s="4">
        <f>CHOOSE( CONTROL!$C$33, 9.2687, 9.2671) * CHOOSE(CONTROL!$C$16, $D$11, 100%, $F$11)</f>
        <v>9.2687000000000008</v>
      </c>
      <c r="I237" s="8">
        <f>CHOOSE( CONTROL!$C$33, 8.2707, 8.2691) * CHOOSE(CONTROL!$C$16, $D$11, 100%, $F$11)</f>
        <v>8.2706999999999997</v>
      </c>
      <c r="J237" s="4">
        <f>CHOOSE( CONTROL!$C$33, 8.1428, 8.1412) * CHOOSE(CONTROL!$C$16, $D$11, 100%, $F$11)</f>
        <v>8.1427999999999994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1.2927</v>
      </c>
      <c r="Q237" s="9">
        <v>30.8704</v>
      </c>
      <c r="R237" s="9"/>
      <c r="S237" s="11"/>
    </row>
    <row r="238" spans="1:19" ht="15.75">
      <c r="A238" s="13">
        <v>48366</v>
      </c>
      <c r="B238" s="8">
        <f>CHOOSE( CONTROL!$C$33, 8.2666, 8.2649) * CHOOSE(CONTROL!$C$16, $D$11, 100%, $F$11)</f>
        <v>8.2666000000000004</v>
      </c>
      <c r="C238" s="8">
        <f>CHOOSE( CONTROL!$C$33, 8.2746, 8.2729) * CHOOSE(CONTROL!$C$16, $D$11, 100%, $F$11)</f>
        <v>8.2745999999999995</v>
      </c>
      <c r="D238" s="8">
        <f>CHOOSE( CONTROL!$C$33, 8.2931, 8.2914) * CHOOSE( CONTROL!$C$16, $D$11, 100%, $F$11)</f>
        <v>8.2931000000000008</v>
      </c>
      <c r="E238" s="12">
        <f>CHOOSE( CONTROL!$C$33, 8.2852, 8.2835) * CHOOSE( CONTROL!$C$16, $D$11, 100%, $F$11)</f>
        <v>8.2851999999999997</v>
      </c>
      <c r="F238" s="4">
        <f>CHOOSE( CONTROL!$C$33, 8.9941, 8.9925) * CHOOSE(CONTROL!$C$16, $D$11, 100%, $F$11)</f>
        <v>8.9940999999999995</v>
      </c>
      <c r="G238" s="8">
        <f>CHOOSE( CONTROL!$C$33, 8.1987, 8.197) * CHOOSE( CONTROL!$C$16, $D$11, 100%, $F$11)</f>
        <v>8.1987000000000005</v>
      </c>
      <c r="H238" s="4">
        <f>CHOOSE( CONTROL!$C$33, 9.1354, 9.1338) * CHOOSE(CONTROL!$C$16, $D$11, 100%, $F$11)</f>
        <v>9.1354000000000006</v>
      </c>
      <c r="I238" s="8">
        <f>CHOOSE( CONTROL!$C$33, 8.1406, 8.139) * CHOOSE(CONTROL!$C$16, $D$11, 100%, $F$11)</f>
        <v>8.1405999999999992</v>
      </c>
      <c r="J238" s="4">
        <f>CHOOSE( CONTROL!$C$33, 8.0119, 8.0103) * CHOOSE(CONTROL!$C$16, $D$11, 100%, $F$11)</f>
        <v>8.0119000000000007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1.2509999999999999</v>
      </c>
      <c r="Q238" s="9">
        <v>29.874600000000001</v>
      </c>
      <c r="R238" s="9"/>
      <c r="S238" s="11"/>
    </row>
    <row r="239" spans="1:19" ht="15.75">
      <c r="A239" s="13">
        <v>48396</v>
      </c>
      <c r="B239" s="8">
        <f>CHOOSE( CONTROL!$C$33, 8.6217, 8.6201) * CHOOSE(CONTROL!$C$16, $D$11, 100%, $F$11)</f>
        <v>8.6217000000000006</v>
      </c>
      <c r="C239" s="8">
        <f>CHOOSE( CONTROL!$C$33, 8.6297, 8.6281) * CHOOSE(CONTROL!$C$16, $D$11, 100%, $F$11)</f>
        <v>8.6296999999999997</v>
      </c>
      <c r="D239" s="8">
        <f>CHOOSE( CONTROL!$C$33, 8.6485, 8.6469) * CHOOSE( CONTROL!$C$16, $D$11, 100%, $F$11)</f>
        <v>8.6485000000000003</v>
      </c>
      <c r="E239" s="12">
        <f>CHOOSE( CONTROL!$C$33, 8.6405, 8.6389) * CHOOSE( CONTROL!$C$16, $D$11, 100%, $F$11)</f>
        <v>8.6404999999999994</v>
      </c>
      <c r="F239" s="4">
        <f>CHOOSE( CONTROL!$C$33, 9.3493, 9.3476) * CHOOSE(CONTROL!$C$16, $D$11, 100%, $F$11)</f>
        <v>9.3492999999999995</v>
      </c>
      <c r="G239" s="8">
        <f>CHOOSE( CONTROL!$C$33, 8.5499, 8.5482) * CHOOSE( CONTROL!$C$16, $D$11, 100%, $F$11)</f>
        <v>8.5498999999999992</v>
      </c>
      <c r="H239" s="4">
        <f>CHOOSE( CONTROL!$C$33, 9.4864, 9.4848) * CHOOSE(CONTROL!$C$16, $D$11, 100%, $F$11)</f>
        <v>9.4863999999999997</v>
      </c>
      <c r="I239" s="8">
        <f>CHOOSE( CONTROL!$C$33, 8.4863, 8.4847) * CHOOSE(CONTROL!$C$16, $D$11, 100%, $F$11)</f>
        <v>8.4863</v>
      </c>
      <c r="J239" s="4">
        <f>CHOOSE( CONTROL!$C$33, 8.3566, 8.355) * CHOOSE(CONTROL!$C$16, $D$11, 100%, $F$11)</f>
        <v>8.3566000000000003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1.2927</v>
      </c>
      <c r="Q239" s="9">
        <v>30.8704</v>
      </c>
      <c r="R239" s="9"/>
      <c r="S239" s="11"/>
    </row>
    <row r="240" spans="1:19" ht="15.75">
      <c r="A240" s="13">
        <v>48427</v>
      </c>
      <c r="B240" s="8">
        <f>CHOOSE( CONTROL!$C$33, 7.9572, 7.9555) * CHOOSE(CONTROL!$C$16, $D$11, 100%, $F$11)</f>
        <v>7.9572000000000003</v>
      </c>
      <c r="C240" s="8">
        <f>CHOOSE( CONTROL!$C$33, 7.9652, 7.9635) * CHOOSE(CONTROL!$C$16, $D$11, 100%, $F$11)</f>
        <v>7.9652000000000003</v>
      </c>
      <c r="D240" s="8">
        <f>CHOOSE( CONTROL!$C$33, 7.984, 7.9824) * CHOOSE( CONTROL!$C$16, $D$11, 100%, $F$11)</f>
        <v>7.984</v>
      </c>
      <c r="E240" s="12">
        <f>CHOOSE( CONTROL!$C$33, 7.976, 7.9743) * CHOOSE( CONTROL!$C$16, $D$11, 100%, $F$11)</f>
        <v>7.976</v>
      </c>
      <c r="F240" s="4">
        <f>CHOOSE( CONTROL!$C$33, 8.6847, 8.6831) * CHOOSE(CONTROL!$C$16, $D$11, 100%, $F$11)</f>
        <v>8.6846999999999994</v>
      </c>
      <c r="G240" s="8">
        <f>CHOOSE( CONTROL!$C$33, 7.8932, 7.8915) * CHOOSE( CONTROL!$C$16, $D$11, 100%, $F$11)</f>
        <v>7.8932000000000002</v>
      </c>
      <c r="H240" s="4">
        <f>CHOOSE( CONTROL!$C$33, 8.8297, 8.828) * CHOOSE(CONTROL!$C$16, $D$11, 100%, $F$11)</f>
        <v>8.8297000000000008</v>
      </c>
      <c r="I240" s="8">
        <f>CHOOSE( CONTROL!$C$33, 7.8413, 7.8397) * CHOOSE(CONTROL!$C$16, $D$11, 100%, $F$11)</f>
        <v>7.8413000000000004</v>
      </c>
      <c r="J240" s="4">
        <f>CHOOSE( CONTROL!$C$33, 7.7116, 7.71) * CHOOSE(CONTROL!$C$16, $D$11, 100%, $F$11)</f>
        <v>7.7115999999999998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1.2927</v>
      </c>
      <c r="Q240" s="9">
        <v>30.8704</v>
      </c>
      <c r="R240" s="9"/>
      <c r="S240" s="11"/>
    </row>
    <row r="241" spans="1:19" ht="15.75">
      <c r="A241" s="13">
        <v>48458</v>
      </c>
      <c r="B241" s="8">
        <f>CHOOSE( CONTROL!$C$33, 7.7908, 7.7891) * CHOOSE(CONTROL!$C$16, $D$11, 100%, $F$11)</f>
        <v>7.7907999999999999</v>
      </c>
      <c r="C241" s="8">
        <f>CHOOSE( CONTROL!$C$33, 7.7988, 7.7971) * CHOOSE(CONTROL!$C$16, $D$11, 100%, $F$11)</f>
        <v>7.7988</v>
      </c>
      <c r="D241" s="8">
        <f>CHOOSE( CONTROL!$C$33, 7.8175, 7.8159) * CHOOSE( CONTROL!$C$16, $D$11, 100%, $F$11)</f>
        <v>7.8174999999999999</v>
      </c>
      <c r="E241" s="12">
        <f>CHOOSE( CONTROL!$C$33, 7.8095, 7.8079) * CHOOSE( CONTROL!$C$16, $D$11, 100%, $F$11)</f>
        <v>7.8094999999999999</v>
      </c>
      <c r="F241" s="4">
        <f>CHOOSE( CONTROL!$C$33, 8.5183, 8.5167) * CHOOSE(CONTROL!$C$16, $D$11, 100%, $F$11)</f>
        <v>8.5183</v>
      </c>
      <c r="G241" s="8">
        <f>CHOOSE( CONTROL!$C$33, 7.7286, 7.727) * CHOOSE( CONTROL!$C$16, $D$11, 100%, $F$11)</f>
        <v>7.7286000000000001</v>
      </c>
      <c r="H241" s="4">
        <f>CHOOSE( CONTROL!$C$33, 8.6652, 8.6636) * CHOOSE(CONTROL!$C$16, $D$11, 100%, $F$11)</f>
        <v>8.6652000000000005</v>
      </c>
      <c r="I241" s="8">
        <f>CHOOSE( CONTROL!$C$33, 7.6793, 7.6777) * CHOOSE(CONTROL!$C$16, $D$11, 100%, $F$11)</f>
        <v>7.6792999999999996</v>
      </c>
      <c r="J241" s="4">
        <f>CHOOSE( CONTROL!$C$33, 7.5501, 7.5485) * CHOOSE(CONTROL!$C$16, $D$11, 100%, $F$11)</f>
        <v>7.5500999999999996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1.2509999999999999</v>
      </c>
      <c r="Q241" s="9">
        <v>29.874600000000001</v>
      </c>
      <c r="R241" s="9"/>
      <c r="S241" s="11"/>
    </row>
    <row r="242" spans="1:19" ht="15.75">
      <c r="A242" s="13">
        <v>48488</v>
      </c>
      <c r="B242" s="8">
        <f>CHOOSE( CONTROL!$C$33, 8.134, 8.1329) * CHOOSE(CONTROL!$C$16, $D$11, 100%, $F$11)</f>
        <v>8.1340000000000003</v>
      </c>
      <c r="C242" s="8">
        <f>CHOOSE( CONTROL!$C$33, 8.1393, 8.1383) * CHOOSE(CONTROL!$C$16, $D$11, 100%, $F$11)</f>
        <v>8.1393000000000004</v>
      </c>
      <c r="D242" s="8">
        <f>CHOOSE( CONTROL!$C$33, 8.1638, 8.1627) * CHOOSE( CONTROL!$C$16, $D$11, 100%, $F$11)</f>
        <v>8.1638000000000002</v>
      </c>
      <c r="E242" s="12">
        <f>CHOOSE( CONTROL!$C$33, 8.1551, 8.1541) * CHOOSE( CONTROL!$C$16, $D$11, 100%, $F$11)</f>
        <v>8.1550999999999991</v>
      </c>
      <c r="F242" s="4">
        <f>CHOOSE( CONTROL!$C$33, 8.8633, 8.8622) * CHOOSE(CONTROL!$C$16, $D$11, 100%, $F$11)</f>
        <v>8.8633000000000006</v>
      </c>
      <c r="G242" s="8">
        <f>CHOOSE( CONTROL!$C$33, 8.0697, 8.0686) * CHOOSE( CONTROL!$C$16, $D$11, 100%, $F$11)</f>
        <v>8.0696999999999992</v>
      </c>
      <c r="H242" s="4">
        <f>CHOOSE( CONTROL!$C$33, 9.0061, 9.0051) * CHOOSE(CONTROL!$C$16, $D$11, 100%, $F$11)</f>
        <v>9.0061</v>
      </c>
      <c r="I242" s="8">
        <f>CHOOSE( CONTROL!$C$33, 8.0152, 8.0141) * CHOOSE(CONTROL!$C$16, $D$11, 100%, $F$11)</f>
        <v>8.0152000000000001</v>
      </c>
      <c r="J242" s="4">
        <f>CHOOSE( CONTROL!$C$33, 7.8849, 7.8839) * CHOOSE(CONTROL!$C$16, $D$11, 100%, $F$11)</f>
        <v>7.8849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1.2927</v>
      </c>
      <c r="Q242" s="9">
        <v>30.8704</v>
      </c>
      <c r="R242" s="9"/>
      <c r="S242" s="11"/>
    </row>
    <row r="243" spans="1:19" ht="15.75">
      <c r="A243" s="13">
        <v>48519</v>
      </c>
      <c r="B243" s="8">
        <f>CHOOSE( CONTROL!$C$33, 8.7714, 8.7703) * CHOOSE(CONTROL!$C$16, $D$11, 100%, $F$11)</f>
        <v>8.7713999999999999</v>
      </c>
      <c r="C243" s="8">
        <f>CHOOSE( CONTROL!$C$33, 8.7764, 8.7754) * CHOOSE(CONTROL!$C$16, $D$11, 100%, $F$11)</f>
        <v>8.7764000000000006</v>
      </c>
      <c r="D243" s="8">
        <f>CHOOSE( CONTROL!$C$33, 8.7668, 8.7658) * CHOOSE( CONTROL!$C$16, $D$11, 100%, $F$11)</f>
        <v>8.7667999999999999</v>
      </c>
      <c r="E243" s="12">
        <f>CHOOSE( CONTROL!$C$33, 8.7698, 8.7688) * CHOOSE( CONTROL!$C$16, $D$11, 100%, $F$11)</f>
        <v>8.7698</v>
      </c>
      <c r="F243" s="4">
        <f>CHOOSE( CONTROL!$C$33, 9.4315, 9.4304) * CHOOSE(CONTROL!$C$16, $D$11, 100%, $F$11)</f>
        <v>9.4314999999999998</v>
      </c>
      <c r="G243" s="8">
        <f>CHOOSE( CONTROL!$C$33, 8.6866, 8.6855) * CHOOSE( CONTROL!$C$16, $D$11, 100%, $F$11)</f>
        <v>8.6866000000000003</v>
      </c>
      <c r="H243" s="4">
        <f>CHOOSE( CONTROL!$C$33, 9.5677, 9.5666) * CHOOSE(CONTROL!$C$16, $D$11, 100%, $F$11)</f>
        <v>9.5677000000000003</v>
      </c>
      <c r="I243" s="8">
        <f>CHOOSE( CONTROL!$C$33, 8.6938, 8.6927) * CHOOSE(CONTROL!$C$16, $D$11, 100%, $F$11)</f>
        <v>8.6937999999999995</v>
      </c>
      <c r="J243" s="4">
        <f>CHOOSE( CONTROL!$C$33, 8.5039, 8.5028) * CHOOSE(CONTROL!$C$16, $D$11, 100%, $F$11)</f>
        <v>8.5038999999999998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29.874600000000001</v>
      </c>
      <c r="R243" s="9"/>
      <c r="S243" s="11"/>
    </row>
    <row r="244" spans="1:19" ht="15.75">
      <c r="A244" s="13">
        <v>48549</v>
      </c>
      <c r="B244" s="8">
        <f>CHOOSE( CONTROL!$C$33, 8.7554, 8.7544) * CHOOSE(CONTROL!$C$16, $D$11, 100%, $F$11)</f>
        <v>8.7553999999999998</v>
      </c>
      <c r="C244" s="8">
        <f>CHOOSE( CONTROL!$C$33, 8.7605, 8.7594) * CHOOSE(CONTROL!$C$16, $D$11, 100%, $F$11)</f>
        <v>8.7605000000000004</v>
      </c>
      <c r="D244" s="8">
        <f>CHOOSE( CONTROL!$C$33, 8.7523, 8.7513) * CHOOSE( CONTROL!$C$16, $D$11, 100%, $F$11)</f>
        <v>8.7523</v>
      </c>
      <c r="E244" s="12">
        <f>CHOOSE( CONTROL!$C$33, 8.7548, 8.7537) * CHOOSE( CONTROL!$C$16, $D$11, 100%, $F$11)</f>
        <v>8.7547999999999995</v>
      </c>
      <c r="F244" s="4">
        <f>CHOOSE( CONTROL!$C$33, 9.4156, 9.4145) * CHOOSE(CONTROL!$C$16, $D$11, 100%, $F$11)</f>
        <v>9.4155999999999995</v>
      </c>
      <c r="G244" s="8">
        <f>CHOOSE( CONTROL!$C$33, 8.6718, 8.6708) * CHOOSE( CONTROL!$C$16, $D$11, 100%, $F$11)</f>
        <v>8.6717999999999993</v>
      </c>
      <c r="H244" s="4">
        <f>CHOOSE( CONTROL!$C$33, 9.5519, 9.5509) * CHOOSE(CONTROL!$C$16, $D$11, 100%, $F$11)</f>
        <v>9.5518999999999998</v>
      </c>
      <c r="I244" s="8">
        <f>CHOOSE( CONTROL!$C$33, 8.6828, 8.6817) * CHOOSE(CONTROL!$C$16, $D$11, 100%, $F$11)</f>
        <v>8.6828000000000003</v>
      </c>
      <c r="J244" s="4">
        <f>CHOOSE( CONTROL!$C$33, 8.4884, 8.4873) * CHOOSE(CONTROL!$C$16, $D$11, 100%, $F$11)</f>
        <v>8.4884000000000004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30.8704</v>
      </c>
      <c r="R244" s="9"/>
      <c r="S244" s="11"/>
    </row>
    <row r="245" spans="1:19" ht="15.75">
      <c r="A245" s="13">
        <v>48580</v>
      </c>
      <c r="B245" s="8">
        <f>CHOOSE( CONTROL!$C$33, 9.0134, 9.0123) * CHOOSE(CONTROL!$C$16, $D$11, 100%, $F$11)</f>
        <v>9.0134000000000007</v>
      </c>
      <c r="C245" s="8">
        <f>CHOOSE( CONTROL!$C$33, 9.0185, 9.0174) * CHOOSE(CONTROL!$C$16, $D$11, 100%, $F$11)</f>
        <v>9.0184999999999995</v>
      </c>
      <c r="D245" s="8">
        <f>CHOOSE( CONTROL!$C$33, 9.0211, 9.02) * CHOOSE( CONTROL!$C$16, $D$11, 100%, $F$11)</f>
        <v>9.0211000000000006</v>
      </c>
      <c r="E245" s="12">
        <f>CHOOSE( CONTROL!$C$33, 9.0196, 9.0185) * CHOOSE( CONTROL!$C$16, $D$11, 100%, $F$11)</f>
        <v>9.0196000000000005</v>
      </c>
      <c r="F245" s="4">
        <f>CHOOSE( CONTROL!$C$33, 9.6735, 9.6724) * CHOOSE(CONTROL!$C$16, $D$11, 100%, $F$11)</f>
        <v>9.6735000000000007</v>
      </c>
      <c r="G245" s="8">
        <f>CHOOSE( CONTROL!$C$33, 8.9296, 8.9285) * CHOOSE( CONTROL!$C$16, $D$11, 100%, $F$11)</f>
        <v>8.9296000000000006</v>
      </c>
      <c r="H245" s="4">
        <f>CHOOSE( CONTROL!$C$33, 9.8069, 9.8058) * CHOOSE(CONTROL!$C$16, $D$11, 100%, $F$11)</f>
        <v>9.8069000000000006</v>
      </c>
      <c r="I245" s="8">
        <f>CHOOSE( CONTROL!$C$33, 8.9047, 8.9037) * CHOOSE(CONTROL!$C$16, $D$11, 100%, $F$11)</f>
        <v>8.9047000000000001</v>
      </c>
      <c r="J245" s="4">
        <f>CHOOSE( CONTROL!$C$33, 8.7387, 8.7377) * CHOOSE(CONTROL!$C$16, $D$11, 100%, $F$11)</f>
        <v>8.7386999999999997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30.773700000000002</v>
      </c>
      <c r="R245" s="9"/>
      <c r="S245" s="11"/>
    </row>
    <row r="246" spans="1:19" ht="15.75">
      <c r="A246" s="13">
        <v>48611</v>
      </c>
      <c r="B246" s="8">
        <f>CHOOSE( CONTROL!$C$33, 8.4313, 8.4303) * CHOOSE(CONTROL!$C$16, $D$11, 100%, $F$11)</f>
        <v>8.4313000000000002</v>
      </c>
      <c r="C246" s="8">
        <f>CHOOSE( CONTROL!$C$33, 8.4364, 8.4353) * CHOOSE(CONTROL!$C$16, $D$11, 100%, $F$11)</f>
        <v>8.4364000000000008</v>
      </c>
      <c r="D246" s="8">
        <f>CHOOSE( CONTROL!$C$33, 8.439, 8.4379) * CHOOSE( CONTROL!$C$16, $D$11, 100%, $F$11)</f>
        <v>8.4390000000000001</v>
      </c>
      <c r="E246" s="12">
        <f>CHOOSE( CONTROL!$C$33, 8.4375, 8.4364) * CHOOSE( CONTROL!$C$16, $D$11, 100%, $F$11)</f>
        <v>8.4375</v>
      </c>
      <c r="F246" s="4">
        <f>CHOOSE( CONTROL!$C$33, 9.0915, 9.0904) * CHOOSE(CONTROL!$C$16, $D$11, 100%, $F$11)</f>
        <v>9.0914999999999999</v>
      </c>
      <c r="G246" s="8">
        <f>CHOOSE( CONTROL!$C$33, 8.3543, 8.3532) * CHOOSE( CONTROL!$C$16, $D$11, 100%, $F$11)</f>
        <v>8.3543000000000003</v>
      </c>
      <c r="H246" s="4">
        <f>CHOOSE( CONTROL!$C$33, 9.2317, 9.2306) * CHOOSE(CONTROL!$C$16, $D$11, 100%, $F$11)</f>
        <v>9.2317</v>
      </c>
      <c r="I246" s="8">
        <f>CHOOSE( CONTROL!$C$33, 8.3393, 8.3382) * CHOOSE(CONTROL!$C$16, $D$11, 100%, $F$11)</f>
        <v>8.3392999999999997</v>
      </c>
      <c r="J246" s="4">
        <f>CHOOSE( CONTROL!$C$33, 8.1739, 8.1728) * CHOOSE(CONTROL!$C$16, $D$11, 100%, $F$11)</f>
        <v>8.1738999999999997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27.7956</v>
      </c>
      <c r="R246" s="9"/>
      <c r="S246" s="11"/>
    </row>
    <row r="247" spans="1:19" ht="15.75">
      <c r="A247" s="13">
        <v>48639</v>
      </c>
      <c r="B247" s="8">
        <f>CHOOSE( CONTROL!$C$33, 8.2521, 8.251) * CHOOSE(CONTROL!$C$16, $D$11, 100%, $F$11)</f>
        <v>8.2521000000000004</v>
      </c>
      <c r="C247" s="8">
        <f>CHOOSE( CONTROL!$C$33, 8.2572, 8.2561) * CHOOSE(CONTROL!$C$16, $D$11, 100%, $F$11)</f>
        <v>8.2571999999999992</v>
      </c>
      <c r="D247" s="8">
        <f>CHOOSE( CONTROL!$C$33, 8.259, 8.2579) * CHOOSE( CONTROL!$C$16, $D$11, 100%, $F$11)</f>
        <v>8.2590000000000003</v>
      </c>
      <c r="E247" s="12">
        <f>CHOOSE( CONTROL!$C$33, 8.2578, 8.2567) * CHOOSE( CONTROL!$C$16, $D$11, 100%, $F$11)</f>
        <v>8.2577999999999996</v>
      </c>
      <c r="F247" s="4">
        <f>CHOOSE( CONTROL!$C$33, 8.9122, 8.9111) * CHOOSE(CONTROL!$C$16, $D$11, 100%, $F$11)</f>
        <v>8.9122000000000003</v>
      </c>
      <c r="G247" s="8">
        <f>CHOOSE( CONTROL!$C$33, 8.1767, 8.1756) * CHOOSE( CONTROL!$C$16, $D$11, 100%, $F$11)</f>
        <v>8.1767000000000003</v>
      </c>
      <c r="H247" s="4">
        <f>CHOOSE( CONTROL!$C$33, 9.0545, 9.0534) * CHOOSE(CONTROL!$C$16, $D$11, 100%, $F$11)</f>
        <v>9.0545000000000009</v>
      </c>
      <c r="I247" s="8">
        <f>CHOOSE( CONTROL!$C$33, 8.1631, 8.162) * CHOOSE(CONTROL!$C$16, $D$11, 100%, $F$11)</f>
        <v>8.1631</v>
      </c>
      <c r="J247" s="4">
        <f>CHOOSE( CONTROL!$C$33, 7.9999, 7.9988) * CHOOSE(CONTROL!$C$16, $D$11, 100%, $F$11)</f>
        <v>7.9999000000000002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30.773700000000002</v>
      </c>
      <c r="R247" s="9"/>
      <c r="S247" s="11"/>
    </row>
    <row r="248" spans="1:19" ht="15.75">
      <c r="A248" s="13">
        <v>48670</v>
      </c>
      <c r="B248" s="8">
        <f>CHOOSE( CONTROL!$C$33, 8.3781, 8.377) * CHOOSE(CONTROL!$C$16, $D$11, 100%, $F$11)</f>
        <v>8.3780999999999999</v>
      </c>
      <c r="C248" s="8">
        <f>CHOOSE( CONTROL!$C$33, 8.3826, 8.3815) * CHOOSE(CONTROL!$C$16, $D$11, 100%, $F$11)</f>
        <v>8.3826000000000001</v>
      </c>
      <c r="D248" s="8">
        <f>CHOOSE( CONTROL!$C$33, 8.407, 8.4059) * CHOOSE( CONTROL!$C$16, $D$11, 100%, $F$11)</f>
        <v>8.407</v>
      </c>
      <c r="E248" s="12">
        <f>CHOOSE( CONTROL!$C$33, 8.3984, 8.3973) * CHOOSE( CONTROL!$C$16, $D$11, 100%, $F$11)</f>
        <v>8.3984000000000005</v>
      </c>
      <c r="F248" s="4">
        <f>CHOOSE( CONTROL!$C$33, 9.107, 9.1059) * CHOOSE(CONTROL!$C$16, $D$11, 100%, $F$11)</f>
        <v>9.1069999999999993</v>
      </c>
      <c r="G248" s="8">
        <f>CHOOSE( CONTROL!$C$33, 8.3102, 8.3091) * CHOOSE( CONTROL!$C$16, $D$11, 100%, $F$11)</f>
        <v>8.3102</v>
      </c>
      <c r="H248" s="4">
        <f>CHOOSE( CONTROL!$C$33, 9.247, 9.246) * CHOOSE(CONTROL!$C$16, $D$11, 100%, $F$11)</f>
        <v>9.2469999999999999</v>
      </c>
      <c r="I248" s="8">
        <f>CHOOSE( CONTROL!$C$33, 8.25, 8.2489) * CHOOSE(CONTROL!$C$16, $D$11, 100%, $F$11)</f>
        <v>8.25</v>
      </c>
      <c r="J248" s="4">
        <f>CHOOSE( CONTROL!$C$33, 8.1215, 8.1204) * CHOOSE(CONTROL!$C$16, $D$11, 100%, $F$11)</f>
        <v>8.1214999999999993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1.2509999999999999</v>
      </c>
      <c r="Q248" s="9">
        <v>29.780999999999999</v>
      </c>
      <c r="R248" s="9"/>
      <c r="S248" s="11"/>
    </row>
    <row r="249" spans="1:19" ht="15.75">
      <c r="A249" s="13">
        <v>48700</v>
      </c>
      <c r="B249" s="8">
        <f>CHOOSE( CONTROL!$C$33, 8.603, 8.6013) * CHOOSE(CONTROL!$C$16, $D$11, 100%, $F$11)</f>
        <v>8.6029999999999998</v>
      </c>
      <c r="C249" s="8">
        <f>CHOOSE( CONTROL!$C$33, 8.611, 8.6093) * CHOOSE(CONTROL!$C$16, $D$11, 100%, $F$11)</f>
        <v>8.6110000000000007</v>
      </c>
      <c r="D249" s="8">
        <f>CHOOSE( CONTROL!$C$33, 8.6293, 8.6276) * CHOOSE( CONTROL!$C$16, $D$11, 100%, $F$11)</f>
        <v>8.6293000000000006</v>
      </c>
      <c r="E249" s="12">
        <f>CHOOSE( CONTROL!$C$33, 8.6214, 8.6197) * CHOOSE( CONTROL!$C$16, $D$11, 100%, $F$11)</f>
        <v>8.6213999999999995</v>
      </c>
      <c r="F249" s="4">
        <f>CHOOSE( CONTROL!$C$33, 9.3306, 9.3289) * CHOOSE(CONTROL!$C$16, $D$11, 100%, $F$11)</f>
        <v>9.3306000000000004</v>
      </c>
      <c r="G249" s="8">
        <f>CHOOSE( CONTROL!$C$33, 8.531, 8.5293) * CHOOSE( CONTROL!$C$16, $D$11, 100%, $F$11)</f>
        <v>8.5310000000000006</v>
      </c>
      <c r="H249" s="4">
        <f>CHOOSE( CONTROL!$C$33, 9.4679, 9.4663) * CHOOSE(CONTROL!$C$16, $D$11, 100%, $F$11)</f>
        <v>9.4679000000000002</v>
      </c>
      <c r="I249" s="8">
        <f>CHOOSE( CONTROL!$C$33, 8.4664, 8.4648) * CHOOSE(CONTROL!$C$16, $D$11, 100%, $F$11)</f>
        <v>8.4664000000000001</v>
      </c>
      <c r="J249" s="4">
        <f>CHOOSE( CONTROL!$C$33, 8.3384, 8.3368) * CHOOSE(CONTROL!$C$16, $D$11, 100%, $F$11)</f>
        <v>8.3384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1.2927</v>
      </c>
      <c r="Q249" s="9">
        <v>30.773700000000002</v>
      </c>
      <c r="R249" s="9"/>
      <c r="S249" s="11"/>
    </row>
    <row r="250" spans="1:19" ht="15.75">
      <c r="A250" s="13">
        <v>48731</v>
      </c>
      <c r="B250" s="8">
        <f>CHOOSE( CONTROL!$C$33, 8.4649, 8.4632) * CHOOSE(CONTROL!$C$16, $D$11, 100%, $F$11)</f>
        <v>8.4649000000000001</v>
      </c>
      <c r="C250" s="8">
        <f>CHOOSE( CONTROL!$C$33, 8.4729, 8.4712) * CHOOSE(CONTROL!$C$16, $D$11, 100%, $F$11)</f>
        <v>8.4728999999999992</v>
      </c>
      <c r="D250" s="8">
        <f>CHOOSE( CONTROL!$C$33, 8.4914, 8.4898) * CHOOSE( CONTROL!$C$16, $D$11, 100%, $F$11)</f>
        <v>8.4914000000000005</v>
      </c>
      <c r="E250" s="12">
        <f>CHOOSE( CONTROL!$C$33, 8.4835, 8.4818) * CHOOSE( CONTROL!$C$16, $D$11, 100%, $F$11)</f>
        <v>8.4834999999999994</v>
      </c>
      <c r="F250" s="4">
        <f>CHOOSE( CONTROL!$C$33, 9.1924, 9.1908) * CHOOSE(CONTROL!$C$16, $D$11, 100%, $F$11)</f>
        <v>9.1923999999999992</v>
      </c>
      <c r="G250" s="8">
        <f>CHOOSE( CONTROL!$C$33, 8.3947, 8.393) * CHOOSE( CONTROL!$C$16, $D$11, 100%, $F$11)</f>
        <v>8.3947000000000003</v>
      </c>
      <c r="H250" s="4">
        <f>CHOOSE( CONTROL!$C$33, 9.3314, 9.3298) * CHOOSE(CONTROL!$C$16, $D$11, 100%, $F$11)</f>
        <v>9.3314000000000004</v>
      </c>
      <c r="I250" s="8">
        <f>CHOOSE( CONTROL!$C$33, 8.3331, 8.3315) * CHOOSE(CONTROL!$C$16, $D$11, 100%, $F$11)</f>
        <v>8.3331</v>
      </c>
      <c r="J250" s="4">
        <f>CHOOSE( CONTROL!$C$33, 8.2044, 8.2028) * CHOOSE(CONTROL!$C$16, $D$11, 100%, $F$11)</f>
        <v>8.2043999999999997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1.2509999999999999</v>
      </c>
      <c r="Q250" s="9">
        <v>29.780999999999999</v>
      </c>
      <c r="R250" s="9"/>
      <c r="S250" s="11"/>
    </row>
    <row r="251" spans="1:19" ht="15.75">
      <c r="A251" s="13">
        <v>48761</v>
      </c>
      <c r="B251" s="8">
        <f>CHOOSE( CONTROL!$C$33, 8.8286, 8.8269) * CHOOSE(CONTROL!$C$16, $D$11, 100%, $F$11)</f>
        <v>8.8285999999999998</v>
      </c>
      <c r="C251" s="8">
        <f>CHOOSE( CONTROL!$C$33, 8.8366, 8.8349) * CHOOSE(CONTROL!$C$16, $D$11, 100%, $F$11)</f>
        <v>8.8366000000000007</v>
      </c>
      <c r="D251" s="8">
        <f>CHOOSE( CONTROL!$C$33, 8.8554, 8.8537) * CHOOSE( CONTROL!$C$16, $D$11, 100%, $F$11)</f>
        <v>8.8553999999999995</v>
      </c>
      <c r="E251" s="12">
        <f>CHOOSE( CONTROL!$C$33, 8.8474, 8.8457) * CHOOSE( CONTROL!$C$16, $D$11, 100%, $F$11)</f>
        <v>8.8474000000000004</v>
      </c>
      <c r="F251" s="4">
        <f>CHOOSE( CONTROL!$C$33, 9.5561, 9.5545) * CHOOSE(CONTROL!$C$16, $D$11, 100%, $F$11)</f>
        <v>9.5561000000000007</v>
      </c>
      <c r="G251" s="8">
        <f>CHOOSE( CONTROL!$C$33, 8.7543, 8.7527) * CHOOSE( CONTROL!$C$16, $D$11, 100%, $F$11)</f>
        <v>8.7543000000000006</v>
      </c>
      <c r="H251" s="4">
        <f>CHOOSE( CONTROL!$C$33, 9.6909, 9.6892) * CHOOSE(CONTROL!$C$16, $D$11, 100%, $F$11)</f>
        <v>9.6908999999999992</v>
      </c>
      <c r="I251" s="8">
        <f>CHOOSE( CONTROL!$C$33, 8.6872, 8.6855) * CHOOSE(CONTROL!$C$16, $D$11, 100%, $F$11)</f>
        <v>8.6872000000000007</v>
      </c>
      <c r="J251" s="4">
        <f>CHOOSE( CONTROL!$C$33, 8.5573, 8.5557) * CHOOSE(CONTROL!$C$16, $D$11, 100%, $F$11)</f>
        <v>8.5572999999999997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1.2927</v>
      </c>
      <c r="Q251" s="9">
        <v>30.773700000000002</v>
      </c>
      <c r="R251" s="9"/>
      <c r="S251" s="11"/>
    </row>
    <row r="252" spans="1:19" ht="15.75">
      <c r="A252" s="13">
        <v>48792</v>
      </c>
      <c r="B252" s="8">
        <f>CHOOSE( CONTROL!$C$33, 8.1481, 8.1464) * CHOOSE(CONTROL!$C$16, $D$11, 100%, $F$11)</f>
        <v>8.1480999999999995</v>
      </c>
      <c r="C252" s="8">
        <f>CHOOSE( CONTROL!$C$33, 8.1561, 8.1544) * CHOOSE(CONTROL!$C$16, $D$11, 100%, $F$11)</f>
        <v>8.1561000000000003</v>
      </c>
      <c r="D252" s="8">
        <f>CHOOSE( CONTROL!$C$33, 8.1749, 8.1733) * CHOOSE( CONTROL!$C$16, $D$11, 100%, $F$11)</f>
        <v>8.1748999999999992</v>
      </c>
      <c r="E252" s="12">
        <f>CHOOSE( CONTROL!$C$33, 8.1669, 8.1652) * CHOOSE( CONTROL!$C$16, $D$11, 100%, $F$11)</f>
        <v>8.1669</v>
      </c>
      <c r="F252" s="4">
        <f>CHOOSE( CONTROL!$C$33, 8.8756, 8.874) * CHOOSE(CONTROL!$C$16, $D$11, 100%, $F$11)</f>
        <v>8.8756000000000004</v>
      </c>
      <c r="G252" s="8">
        <f>CHOOSE( CONTROL!$C$33, 8.0818, 8.0802) * CHOOSE( CONTROL!$C$16, $D$11, 100%, $F$11)</f>
        <v>8.0817999999999994</v>
      </c>
      <c r="H252" s="4">
        <f>CHOOSE( CONTROL!$C$33, 9.0183, 9.0167) * CHOOSE(CONTROL!$C$16, $D$11, 100%, $F$11)</f>
        <v>9.0183</v>
      </c>
      <c r="I252" s="8">
        <f>CHOOSE( CONTROL!$C$33, 8.0266, 8.025) * CHOOSE(CONTROL!$C$16, $D$11, 100%, $F$11)</f>
        <v>8.0266000000000002</v>
      </c>
      <c r="J252" s="4">
        <f>CHOOSE( CONTROL!$C$33, 7.8969, 7.8953) * CHOOSE(CONTROL!$C$16, $D$11, 100%, $F$11)</f>
        <v>7.8968999999999996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1.2927</v>
      </c>
      <c r="Q252" s="9">
        <v>30.773700000000002</v>
      </c>
      <c r="R252" s="9"/>
      <c r="S252" s="11"/>
    </row>
    <row r="253" spans="1:19" ht="15.75">
      <c r="A253" s="13">
        <v>48823</v>
      </c>
      <c r="B253" s="8">
        <f>CHOOSE( CONTROL!$C$33, 7.9777, 7.976) * CHOOSE(CONTROL!$C$16, $D$11, 100%, $F$11)</f>
        <v>7.9776999999999996</v>
      </c>
      <c r="C253" s="8">
        <f>CHOOSE( CONTROL!$C$33, 7.9856, 7.984) * CHOOSE(CONTROL!$C$16, $D$11, 100%, $F$11)</f>
        <v>7.9855999999999998</v>
      </c>
      <c r="D253" s="8">
        <f>CHOOSE( CONTROL!$C$33, 8.0044, 8.0027) * CHOOSE( CONTROL!$C$16, $D$11, 100%, $F$11)</f>
        <v>8.0044000000000004</v>
      </c>
      <c r="E253" s="12">
        <f>CHOOSE( CONTROL!$C$33, 7.9964, 7.9947) * CHOOSE( CONTROL!$C$16, $D$11, 100%, $F$11)</f>
        <v>7.9964000000000004</v>
      </c>
      <c r="F253" s="4">
        <f>CHOOSE( CONTROL!$C$33, 8.7052, 8.7036) * CHOOSE(CONTROL!$C$16, $D$11, 100%, $F$11)</f>
        <v>8.7051999999999996</v>
      </c>
      <c r="G253" s="8">
        <f>CHOOSE( CONTROL!$C$33, 7.9133, 7.9117) * CHOOSE( CONTROL!$C$16, $D$11, 100%, $F$11)</f>
        <v>7.9132999999999996</v>
      </c>
      <c r="H253" s="4">
        <f>CHOOSE( CONTROL!$C$33, 8.8499, 8.8483) * CHOOSE(CONTROL!$C$16, $D$11, 100%, $F$11)</f>
        <v>8.8498999999999999</v>
      </c>
      <c r="I253" s="8">
        <f>CHOOSE( CONTROL!$C$33, 7.8608, 7.8592) * CHOOSE(CONTROL!$C$16, $D$11, 100%, $F$11)</f>
        <v>7.8608000000000002</v>
      </c>
      <c r="J253" s="4">
        <f>CHOOSE( CONTROL!$C$33, 7.7315, 7.7299) * CHOOSE(CONTROL!$C$16, $D$11, 100%, $F$11)</f>
        <v>7.7314999999999996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1.2509999999999999</v>
      </c>
      <c r="Q253" s="9">
        <v>29.780999999999999</v>
      </c>
      <c r="R253" s="9"/>
      <c r="S253" s="11"/>
    </row>
    <row r="254" spans="1:19" ht="15.75">
      <c r="A254" s="13">
        <v>48853</v>
      </c>
      <c r="B254" s="8">
        <f>CHOOSE( CONTROL!$C$33, 8.3292, 8.3281) * CHOOSE(CONTROL!$C$16, $D$11, 100%, $F$11)</f>
        <v>8.3292000000000002</v>
      </c>
      <c r="C254" s="8">
        <f>CHOOSE( CONTROL!$C$33, 8.3345, 8.3334) * CHOOSE(CONTROL!$C$16, $D$11, 100%, $F$11)</f>
        <v>8.3345000000000002</v>
      </c>
      <c r="D254" s="8">
        <f>CHOOSE( CONTROL!$C$33, 8.3589, 8.3579) * CHOOSE( CONTROL!$C$16, $D$11, 100%, $F$11)</f>
        <v>8.3589000000000002</v>
      </c>
      <c r="E254" s="12">
        <f>CHOOSE( CONTROL!$C$33, 8.3503, 8.3492) * CHOOSE( CONTROL!$C$16, $D$11, 100%, $F$11)</f>
        <v>8.3503000000000007</v>
      </c>
      <c r="F254" s="4">
        <f>CHOOSE( CONTROL!$C$33, 9.0585, 9.0574) * CHOOSE(CONTROL!$C$16, $D$11, 100%, $F$11)</f>
        <v>9.0585000000000004</v>
      </c>
      <c r="G254" s="8">
        <f>CHOOSE( CONTROL!$C$33, 8.2626, 8.2615) * CHOOSE( CONTROL!$C$16, $D$11, 100%, $F$11)</f>
        <v>8.2626000000000008</v>
      </c>
      <c r="H254" s="4">
        <f>CHOOSE( CONTROL!$C$33, 9.199, 9.198) * CHOOSE(CONTROL!$C$16, $D$11, 100%, $F$11)</f>
        <v>9.1989999999999998</v>
      </c>
      <c r="I254" s="8">
        <f>CHOOSE( CONTROL!$C$33, 8.2047, 8.2037) * CHOOSE(CONTROL!$C$16, $D$11, 100%, $F$11)</f>
        <v>8.2047000000000008</v>
      </c>
      <c r="J254" s="4">
        <f>CHOOSE( CONTROL!$C$33, 8.0743, 8.0733) * CHOOSE(CONTROL!$C$16, $D$11, 100%, $F$11)</f>
        <v>8.0742999999999991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1.2927</v>
      </c>
      <c r="Q254" s="9">
        <v>30.773700000000002</v>
      </c>
      <c r="R254" s="9"/>
      <c r="S254" s="11"/>
    </row>
    <row r="255" spans="1:19" ht="15.75">
      <c r="A255" s="13">
        <v>48884</v>
      </c>
      <c r="B255" s="8">
        <f>CHOOSE( CONTROL!$C$33, 8.9819, 8.9808) * CHOOSE(CONTROL!$C$16, $D$11, 100%, $F$11)</f>
        <v>8.9818999999999996</v>
      </c>
      <c r="C255" s="8">
        <f>CHOOSE( CONTROL!$C$33, 8.987, 8.9859) * CHOOSE(CONTROL!$C$16, $D$11, 100%, $F$11)</f>
        <v>8.9870000000000001</v>
      </c>
      <c r="D255" s="8">
        <f>CHOOSE( CONTROL!$C$33, 8.9774, 8.9763) * CHOOSE( CONTROL!$C$16, $D$11, 100%, $F$11)</f>
        <v>8.9773999999999994</v>
      </c>
      <c r="E255" s="12">
        <f>CHOOSE( CONTROL!$C$33, 8.9804, 8.9793) * CHOOSE( CONTROL!$C$16, $D$11, 100%, $F$11)</f>
        <v>8.9803999999999995</v>
      </c>
      <c r="F255" s="4">
        <f>CHOOSE( CONTROL!$C$33, 9.642, 9.6409) * CHOOSE(CONTROL!$C$16, $D$11, 100%, $F$11)</f>
        <v>9.6419999999999995</v>
      </c>
      <c r="G255" s="8">
        <f>CHOOSE( CONTROL!$C$33, 8.8946, 8.8935) * CHOOSE( CONTROL!$C$16, $D$11, 100%, $F$11)</f>
        <v>8.8946000000000005</v>
      </c>
      <c r="H255" s="4">
        <f>CHOOSE( CONTROL!$C$33, 9.7757, 9.7747) * CHOOSE(CONTROL!$C$16, $D$11, 100%, $F$11)</f>
        <v>9.7757000000000005</v>
      </c>
      <c r="I255" s="8">
        <f>CHOOSE( CONTROL!$C$33, 8.8982, 8.8971) * CHOOSE(CONTROL!$C$16, $D$11, 100%, $F$11)</f>
        <v>8.8981999999999992</v>
      </c>
      <c r="J255" s="4">
        <f>CHOOSE( CONTROL!$C$33, 8.7082, 8.7071) * CHOOSE(CONTROL!$C$16, $D$11, 100%, $F$11)</f>
        <v>8.7081999999999997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29.780999999999999</v>
      </c>
      <c r="R255" s="9"/>
      <c r="S255" s="11"/>
    </row>
    <row r="256" spans="1:19" ht="15.75">
      <c r="A256" s="13">
        <v>48914</v>
      </c>
      <c r="B256" s="8">
        <f>CHOOSE( CONTROL!$C$33, 8.9656, 8.9645) * CHOOSE(CONTROL!$C$16, $D$11, 100%, $F$11)</f>
        <v>8.9656000000000002</v>
      </c>
      <c r="C256" s="8">
        <f>CHOOSE( CONTROL!$C$33, 8.9706, 8.9696) * CHOOSE(CONTROL!$C$16, $D$11, 100%, $F$11)</f>
        <v>8.9705999999999992</v>
      </c>
      <c r="D256" s="8">
        <f>CHOOSE( CONTROL!$C$33, 8.9625, 8.9614) * CHOOSE( CONTROL!$C$16, $D$11, 100%, $F$11)</f>
        <v>8.9625000000000004</v>
      </c>
      <c r="E256" s="12">
        <f>CHOOSE( CONTROL!$C$33, 8.9649, 8.9639) * CHOOSE( CONTROL!$C$16, $D$11, 100%, $F$11)</f>
        <v>8.9649000000000001</v>
      </c>
      <c r="F256" s="4">
        <f>CHOOSE( CONTROL!$C$33, 9.6257, 9.6246) * CHOOSE(CONTROL!$C$16, $D$11, 100%, $F$11)</f>
        <v>9.6257000000000001</v>
      </c>
      <c r="G256" s="8">
        <f>CHOOSE( CONTROL!$C$33, 8.8795, 8.8784) * CHOOSE( CONTROL!$C$16, $D$11, 100%, $F$11)</f>
        <v>8.8795000000000002</v>
      </c>
      <c r="H256" s="4">
        <f>CHOOSE( CONTROL!$C$33, 9.7596, 9.7585) * CHOOSE(CONTROL!$C$16, $D$11, 100%, $F$11)</f>
        <v>9.7596000000000007</v>
      </c>
      <c r="I256" s="8">
        <f>CHOOSE( CONTROL!$C$33, 8.8868, 8.8857) * CHOOSE(CONTROL!$C$16, $D$11, 100%, $F$11)</f>
        <v>8.8867999999999991</v>
      </c>
      <c r="J256" s="4">
        <f>CHOOSE( CONTROL!$C$33, 8.6923, 8.6913) * CHOOSE(CONTROL!$C$16, $D$11, 100%, $F$11)</f>
        <v>8.6922999999999995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30.773700000000002</v>
      </c>
      <c r="R256" s="9"/>
      <c r="S256" s="11"/>
    </row>
    <row r="257" spans="1:19" ht="15.75">
      <c r="A257" s="13">
        <v>48945</v>
      </c>
      <c r="B257" s="8">
        <f>CHOOSE( CONTROL!$C$33, 9.2297, 9.2286) * CHOOSE(CONTROL!$C$16, $D$11, 100%, $F$11)</f>
        <v>9.2296999999999993</v>
      </c>
      <c r="C257" s="8">
        <f>CHOOSE( CONTROL!$C$33, 9.2348, 9.2337) * CHOOSE(CONTROL!$C$16, $D$11, 100%, $F$11)</f>
        <v>9.2347999999999999</v>
      </c>
      <c r="D257" s="8">
        <f>CHOOSE( CONTROL!$C$33, 9.2374, 9.2364) * CHOOSE( CONTROL!$C$16, $D$11, 100%, $F$11)</f>
        <v>9.2373999999999992</v>
      </c>
      <c r="E257" s="12">
        <f>CHOOSE( CONTROL!$C$33, 9.2359, 9.2349) * CHOOSE( CONTROL!$C$16, $D$11, 100%, $F$11)</f>
        <v>9.2359000000000009</v>
      </c>
      <c r="F257" s="4">
        <f>CHOOSE( CONTROL!$C$33, 9.8899, 9.8888) * CHOOSE(CONTROL!$C$16, $D$11, 100%, $F$11)</f>
        <v>9.8899000000000008</v>
      </c>
      <c r="G257" s="8">
        <f>CHOOSE( CONTROL!$C$33, 9.1434, 9.1423) * CHOOSE( CONTROL!$C$16, $D$11, 100%, $F$11)</f>
        <v>9.1433999999999997</v>
      </c>
      <c r="H257" s="4">
        <f>CHOOSE( CONTROL!$C$33, 10.0207, 10.0196) * CHOOSE(CONTROL!$C$16, $D$11, 100%, $F$11)</f>
        <v>10.0207</v>
      </c>
      <c r="I257" s="8">
        <f>CHOOSE( CONTROL!$C$33, 9.1148, 9.1137) * CHOOSE(CONTROL!$C$16, $D$11, 100%, $F$11)</f>
        <v>9.1148000000000007</v>
      </c>
      <c r="J257" s="4">
        <f>CHOOSE( CONTROL!$C$33, 8.9487, 8.9476) * CHOOSE(CONTROL!$C$16, $D$11, 100%, $F$11)</f>
        <v>8.9487000000000005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30.7105</v>
      </c>
      <c r="R257" s="9"/>
      <c r="S257" s="11"/>
    </row>
    <row r="258" spans="1:19" ht="15.75">
      <c r="A258" s="13">
        <v>48976</v>
      </c>
      <c r="B258" s="8">
        <f>CHOOSE( CONTROL!$C$33, 8.6337, 8.6326) * CHOOSE(CONTROL!$C$16, $D$11, 100%, $F$11)</f>
        <v>8.6336999999999993</v>
      </c>
      <c r="C258" s="8">
        <f>CHOOSE( CONTROL!$C$33, 8.6388, 8.6377) * CHOOSE(CONTROL!$C$16, $D$11, 100%, $F$11)</f>
        <v>8.6387999999999998</v>
      </c>
      <c r="D258" s="8">
        <f>CHOOSE( CONTROL!$C$33, 8.6413, 8.6402) * CHOOSE( CONTROL!$C$16, $D$11, 100%, $F$11)</f>
        <v>8.6412999999999993</v>
      </c>
      <c r="E258" s="12">
        <f>CHOOSE( CONTROL!$C$33, 8.6398, 8.6387) * CHOOSE( CONTROL!$C$16, $D$11, 100%, $F$11)</f>
        <v>8.6397999999999993</v>
      </c>
      <c r="F258" s="4">
        <f>CHOOSE( CONTROL!$C$33, 9.2938, 9.2927) * CHOOSE(CONTROL!$C$16, $D$11, 100%, $F$11)</f>
        <v>9.2937999999999992</v>
      </c>
      <c r="G258" s="8">
        <f>CHOOSE( CONTROL!$C$33, 8.5543, 8.5532) * CHOOSE( CONTROL!$C$16, $D$11, 100%, $F$11)</f>
        <v>8.5542999999999996</v>
      </c>
      <c r="H258" s="4">
        <f>CHOOSE( CONTROL!$C$33, 9.4316, 9.4306) * CHOOSE(CONTROL!$C$16, $D$11, 100%, $F$11)</f>
        <v>9.4315999999999995</v>
      </c>
      <c r="I258" s="8">
        <f>CHOOSE( CONTROL!$C$33, 8.5358, 8.5347) * CHOOSE(CONTROL!$C$16, $D$11, 100%, $F$11)</f>
        <v>8.5358000000000001</v>
      </c>
      <c r="J258" s="4">
        <f>CHOOSE( CONTROL!$C$33, 8.3702, 8.3692) * CHOOSE(CONTROL!$C$16, $D$11, 100%, $F$11)</f>
        <v>8.3702000000000005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27.738499999999998</v>
      </c>
      <c r="R258" s="9"/>
      <c r="S258" s="11"/>
    </row>
    <row r="259" spans="1:19" ht="15.75">
      <c r="A259" s="13">
        <v>49004</v>
      </c>
      <c r="B259" s="8">
        <f>CHOOSE( CONTROL!$C$33, 8.4501, 8.449) * CHOOSE(CONTROL!$C$16, $D$11, 100%, $F$11)</f>
        <v>8.4501000000000008</v>
      </c>
      <c r="C259" s="8">
        <f>CHOOSE( CONTROL!$C$33, 8.4552, 8.4541) * CHOOSE(CONTROL!$C$16, $D$11, 100%, $F$11)</f>
        <v>8.4551999999999996</v>
      </c>
      <c r="D259" s="8">
        <f>CHOOSE( CONTROL!$C$33, 8.4571, 8.456) * CHOOSE( CONTROL!$C$16, $D$11, 100%, $F$11)</f>
        <v>8.4571000000000005</v>
      </c>
      <c r="E259" s="12">
        <f>CHOOSE( CONTROL!$C$33, 8.4559, 8.4548) * CHOOSE( CONTROL!$C$16, $D$11, 100%, $F$11)</f>
        <v>8.4558999999999997</v>
      </c>
      <c r="F259" s="4">
        <f>CHOOSE( CONTROL!$C$33, 9.1102, 9.1092) * CHOOSE(CONTROL!$C$16, $D$11, 100%, $F$11)</f>
        <v>9.1102000000000007</v>
      </c>
      <c r="G259" s="8">
        <f>CHOOSE( CONTROL!$C$33, 8.3724, 8.3713) * CHOOSE( CONTROL!$C$16, $D$11, 100%, $F$11)</f>
        <v>8.3724000000000007</v>
      </c>
      <c r="H259" s="4">
        <f>CHOOSE( CONTROL!$C$33, 9.2502, 9.2491) * CHOOSE(CONTROL!$C$16, $D$11, 100%, $F$11)</f>
        <v>9.2501999999999995</v>
      </c>
      <c r="I259" s="8">
        <f>CHOOSE( CONTROL!$C$33, 8.3554, 8.3543) * CHOOSE(CONTROL!$C$16, $D$11, 100%, $F$11)</f>
        <v>8.3553999999999995</v>
      </c>
      <c r="J259" s="4">
        <f>CHOOSE( CONTROL!$C$33, 8.1921, 8.191) * CHOOSE(CONTROL!$C$16, $D$11, 100%, $F$11)</f>
        <v>8.1920999999999999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30.7105</v>
      </c>
      <c r="R259" s="9"/>
      <c r="S259" s="11"/>
    </row>
    <row r="260" spans="1:19" ht="15.75">
      <c r="A260" s="13">
        <v>49035</v>
      </c>
      <c r="B260" s="8">
        <f>CHOOSE( CONTROL!$C$33, 8.5792, 8.5781) * CHOOSE(CONTROL!$C$16, $D$11, 100%, $F$11)</f>
        <v>8.5792000000000002</v>
      </c>
      <c r="C260" s="8">
        <f>CHOOSE( CONTROL!$C$33, 8.5837, 8.5826) * CHOOSE(CONTROL!$C$16, $D$11, 100%, $F$11)</f>
        <v>8.5837000000000003</v>
      </c>
      <c r="D260" s="8">
        <f>CHOOSE( CONTROL!$C$33, 8.608, 8.6069) * CHOOSE( CONTROL!$C$16, $D$11, 100%, $F$11)</f>
        <v>8.6080000000000005</v>
      </c>
      <c r="E260" s="12">
        <f>CHOOSE( CONTROL!$C$33, 8.5995, 8.5984) * CHOOSE( CONTROL!$C$16, $D$11, 100%, $F$11)</f>
        <v>8.5995000000000008</v>
      </c>
      <c r="F260" s="4">
        <f>CHOOSE( CONTROL!$C$33, 9.3081, 9.307) * CHOOSE(CONTROL!$C$16, $D$11, 100%, $F$11)</f>
        <v>9.3080999999999996</v>
      </c>
      <c r="G260" s="8">
        <f>CHOOSE( CONTROL!$C$33, 8.5089, 8.5078) * CHOOSE( CONTROL!$C$16, $D$11, 100%, $F$11)</f>
        <v>8.5089000000000006</v>
      </c>
      <c r="H260" s="4">
        <f>CHOOSE( CONTROL!$C$33, 9.4457, 9.4446) * CHOOSE(CONTROL!$C$16, $D$11, 100%, $F$11)</f>
        <v>9.4457000000000004</v>
      </c>
      <c r="I260" s="8">
        <f>CHOOSE( CONTROL!$C$33, 8.4452, 8.4441) * CHOOSE(CONTROL!$C$16, $D$11, 100%, $F$11)</f>
        <v>8.4451999999999998</v>
      </c>
      <c r="J260" s="4">
        <f>CHOOSE( CONTROL!$C$33, 8.3166, 8.3155) * CHOOSE(CONTROL!$C$16, $D$11, 100%, $F$11)</f>
        <v>8.3165999999999993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1.2509999999999999</v>
      </c>
      <c r="Q260" s="9">
        <v>29.719799999999999</v>
      </c>
      <c r="R260" s="9"/>
      <c r="S260" s="11"/>
    </row>
    <row r="261" spans="1:19" ht="15.75">
      <c r="A261" s="13">
        <v>49065</v>
      </c>
      <c r="B261" s="8">
        <f>CHOOSE( CONTROL!$C$33, 8.8094, 8.8077) * CHOOSE(CONTROL!$C$16, $D$11, 100%, $F$11)</f>
        <v>8.8094000000000001</v>
      </c>
      <c r="C261" s="8">
        <f>CHOOSE( CONTROL!$C$33, 8.8174, 8.8157) * CHOOSE(CONTROL!$C$16, $D$11, 100%, $F$11)</f>
        <v>8.8173999999999992</v>
      </c>
      <c r="D261" s="8">
        <f>CHOOSE( CONTROL!$C$33, 8.8357, 8.834) * CHOOSE( CONTROL!$C$16, $D$11, 100%, $F$11)</f>
        <v>8.8356999999999992</v>
      </c>
      <c r="E261" s="12">
        <f>CHOOSE( CONTROL!$C$33, 8.8278, 8.8261) * CHOOSE( CONTROL!$C$16, $D$11, 100%, $F$11)</f>
        <v>8.8277999999999999</v>
      </c>
      <c r="F261" s="4">
        <f>CHOOSE( CONTROL!$C$33, 9.537, 9.5353) * CHOOSE(CONTROL!$C$16, $D$11, 100%, $F$11)</f>
        <v>9.5370000000000008</v>
      </c>
      <c r="G261" s="8">
        <f>CHOOSE( CONTROL!$C$33, 8.7349, 8.7333) * CHOOSE( CONTROL!$C$16, $D$11, 100%, $F$11)</f>
        <v>8.7348999999999997</v>
      </c>
      <c r="H261" s="4">
        <f>CHOOSE( CONTROL!$C$33, 9.6719, 9.6703) * CHOOSE(CONTROL!$C$16, $D$11, 100%, $F$11)</f>
        <v>9.6719000000000008</v>
      </c>
      <c r="I261" s="8">
        <f>CHOOSE( CONTROL!$C$33, 8.6668, 8.6652) * CHOOSE(CONTROL!$C$16, $D$11, 100%, $F$11)</f>
        <v>8.6668000000000003</v>
      </c>
      <c r="J261" s="4">
        <f>CHOOSE( CONTROL!$C$33, 8.5387, 8.5371) * CHOOSE(CONTROL!$C$16, $D$11, 100%, $F$11)</f>
        <v>8.5387000000000004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1.2927</v>
      </c>
      <c r="Q261" s="9">
        <v>30.7105</v>
      </c>
      <c r="R261" s="9"/>
      <c r="S261" s="11"/>
    </row>
    <row r="262" spans="1:19" ht="15.75">
      <c r="A262" s="13">
        <v>49096</v>
      </c>
      <c r="B262" s="8">
        <f>CHOOSE( CONTROL!$C$33, 8.668, 8.6663) * CHOOSE(CONTROL!$C$16, $D$11, 100%, $F$11)</f>
        <v>8.6679999999999993</v>
      </c>
      <c r="C262" s="8">
        <f>CHOOSE( CONTROL!$C$33, 8.676, 8.6743) * CHOOSE(CONTROL!$C$16, $D$11, 100%, $F$11)</f>
        <v>8.6760000000000002</v>
      </c>
      <c r="D262" s="8">
        <f>CHOOSE( CONTROL!$C$33, 8.6945, 8.6928) * CHOOSE( CONTROL!$C$16, $D$11, 100%, $F$11)</f>
        <v>8.6944999999999997</v>
      </c>
      <c r="E262" s="12">
        <f>CHOOSE( CONTROL!$C$33, 8.6866, 8.6849) * CHOOSE( CONTROL!$C$16, $D$11, 100%, $F$11)</f>
        <v>8.6866000000000003</v>
      </c>
      <c r="F262" s="4">
        <f>CHOOSE( CONTROL!$C$33, 9.3955, 9.3939) * CHOOSE(CONTROL!$C$16, $D$11, 100%, $F$11)</f>
        <v>9.3955000000000002</v>
      </c>
      <c r="G262" s="8">
        <f>CHOOSE( CONTROL!$C$33, 8.5954, 8.5937) * CHOOSE( CONTROL!$C$16, $D$11, 100%, $F$11)</f>
        <v>8.5953999999999997</v>
      </c>
      <c r="H262" s="4">
        <f>CHOOSE( CONTROL!$C$33, 9.5321, 9.5305) * CHOOSE(CONTROL!$C$16, $D$11, 100%, $F$11)</f>
        <v>9.5320999999999998</v>
      </c>
      <c r="I262" s="8">
        <f>CHOOSE( CONTROL!$C$33, 8.5303, 8.5287) * CHOOSE(CONTROL!$C$16, $D$11, 100%, $F$11)</f>
        <v>8.5303000000000004</v>
      </c>
      <c r="J262" s="4">
        <f>CHOOSE( CONTROL!$C$33, 8.4015, 8.3998) * CHOOSE(CONTROL!$C$16, $D$11, 100%, $F$11)</f>
        <v>8.4015000000000004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1.2509999999999999</v>
      </c>
      <c r="Q262" s="9">
        <v>29.719799999999999</v>
      </c>
      <c r="R262" s="9"/>
      <c r="S262" s="11"/>
    </row>
    <row r="263" spans="1:19" ht="15.75">
      <c r="A263" s="13">
        <v>49126</v>
      </c>
      <c r="B263" s="8">
        <f>CHOOSE( CONTROL!$C$33, 9.0404, 9.0388) * CHOOSE(CONTROL!$C$16, $D$11, 100%, $F$11)</f>
        <v>9.0404</v>
      </c>
      <c r="C263" s="8">
        <f>CHOOSE( CONTROL!$C$33, 9.0484, 9.0467) * CHOOSE(CONTROL!$C$16, $D$11, 100%, $F$11)</f>
        <v>9.0484000000000009</v>
      </c>
      <c r="D263" s="8">
        <f>CHOOSE( CONTROL!$C$33, 9.0672, 9.0655) * CHOOSE( CONTROL!$C$16, $D$11, 100%, $F$11)</f>
        <v>9.0671999999999997</v>
      </c>
      <c r="E263" s="12">
        <f>CHOOSE( CONTROL!$C$33, 9.0592, 9.0575) * CHOOSE( CONTROL!$C$16, $D$11, 100%, $F$11)</f>
        <v>9.0592000000000006</v>
      </c>
      <c r="F263" s="4">
        <f>CHOOSE( CONTROL!$C$33, 9.768, 9.7663) * CHOOSE(CONTROL!$C$16, $D$11, 100%, $F$11)</f>
        <v>9.7680000000000007</v>
      </c>
      <c r="G263" s="8">
        <f>CHOOSE( CONTROL!$C$33, 8.9636, 8.962) * CHOOSE( CONTROL!$C$16, $D$11, 100%, $F$11)</f>
        <v>8.9635999999999996</v>
      </c>
      <c r="H263" s="4">
        <f>CHOOSE( CONTROL!$C$33, 9.9002, 9.8986) * CHOOSE(CONTROL!$C$16, $D$11, 100%, $F$11)</f>
        <v>9.9001999999999999</v>
      </c>
      <c r="I263" s="8">
        <f>CHOOSE( CONTROL!$C$33, 8.8928, 8.8912) * CHOOSE(CONTROL!$C$16, $D$11, 100%, $F$11)</f>
        <v>8.8927999999999994</v>
      </c>
      <c r="J263" s="4">
        <f>CHOOSE( CONTROL!$C$33, 8.7629, 8.7613) * CHOOSE(CONTROL!$C$16, $D$11, 100%, $F$11)</f>
        <v>8.7629000000000001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1.2927</v>
      </c>
      <c r="Q263" s="9">
        <v>30.7105</v>
      </c>
      <c r="R263" s="9"/>
      <c r="S263" s="11"/>
    </row>
    <row r="264" spans="1:19" ht="15.75">
      <c r="A264" s="13">
        <v>49157</v>
      </c>
      <c r="B264" s="8">
        <f>CHOOSE( CONTROL!$C$33, 8.3435, 8.3419) * CHOOSE(CONTROL!$C$16, $D$11, 100%, $F$11)</f>
        <v>8.3435000000000006</v>
      </c>
      <c r="C264" s="8">
        <f>CHOOSE( CONTROL!$C$33, 8.3515, 8.3499) * CHOOSE(CONTROL!$C$16, $D$11, 100%, $F$11)</f>
        <v>8.3514999999999997</v>
      </c>
      <c r="D264" s="8">
        <f>CHOOSE( CONTROL!$C$33, 8.3704, 8.3687) * CHOOSE( CONTROL!$C$16, $D$11, 100%, $F$11)</f>
        <v>8.3704000000000001</v>
      </c>
      <c r="E264" s="12">
        <f>CHOOSE( CONTROL!$C$33, 8.3623, 8.3607) * CHOOSE( CONTROL!$C$16, $D$11, 100%, $F$11)</f>
        <v>8.3622999999999994</v>
      </c>
      <c r="F264" s="4">
        <f>CHOOSE( CONTROL!$C$33, 9.0711, 9.0694) * CHOOSE(CONTROL!$C$16, $D$11, 100%, $F$11)</f>
        <v>9.0710999999999995</v>
      </c>
      <c r="G264" s="8">
        <f>CHOOSE( CONTROL!$C$33, 8.275, 8.2734) * CHOOSE( CONTROL!$C$16, $D$11, 100%, $F$11)</f>
        <v>8.2750000000000004</v>
      </c>
      <c r="H264" s="4">
        <f>CHOOSE( CONTROL!$C$33, 9.2115, 9.2099) * CHOOSE(CONTROL!$C$16, $D$11, 100%, $F$11)</f>
        <v>9.2114999999999991</v>
      </c>
      <c r="I264" s="8">
        <f>CHOOSE( CONTROL!$C$33, 8.2164, 8.2148) * CHOOSE(CONTROL!$C$16, $D$11, 100%, $F$11)</f>
        <v>8.2164000000000001</v>
      </c>
      <c r="J264" s="4">
        <f>CHOOSE( CONTROL!$C$33, 8.0866, 8.085) * CHOOSE(CONTROL!$C$16, $D$11, 100%, $F$11)</f>
        <v>8.0866000000000007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1.2927</v>
      </c>
      <c r="Q264" s="9">
        <v>30.7105</v>
      </c>
      <c r="R264" s="9"/>
      <c r="S264" s="11"/>
    </row>
    <row r="265" spans="1:19" ht="15.75">
      <c r="A265" s="13">
        <v>49188</v>
      </c>
      <c r="B265" s="8">
        <f>CHOOSE( CONTROL!$C$33, 8.169, 8.1674) * CHOOSE(CONTROL!$C$16, $D$11, 100%, $F$11)</f>
        <v>8.1690000000000005</v>
      </c>
      <c r="C265" s="8">
        <f>CHOOSE( CONTROL!$C$33, 8.177, 8.1754) * CHOOSE(CONTROL!$C$16, $D$11, 100%, $F$11)</f>
        <v>8.1769999999999996</v>
      </c>
      <c r="D265" s="8">
        <f>CHOOSE( CONTROL!$C$33, 8.1958, 8.1941) * CHOOSE( CONTROL!$C$16, $D$11, 100%, $F$11)</f>
        <v>8.1958000000000002</v>
      </c>
      <c r="E265" s="12">
        <f>CHOOSE( CONTROL!$C$33, 8.1878, 8.1861) * CHOOSE( CONTROL!$C$16, $D$11, 100%, $F$11)</f>
        <v>8.1877999999999993</v>
      </c>
      <c r="F265" s="4">
        <f>CHOOSE( CONTROL!$C$33, 8.8966, 8.8949) * CHOOSE(CONTROL!$C$16, $D$11, 100%, $F$11)</f>
        <v>8.8965999999999994</v>
      </c>
      <c r="G265" s="8">
        <f>CHOOSE( CONTROL!$C$33, 8.1025, 8.1008) * CHOOSE( CONTROL!$C$16, $D$11, 100%, $F$11)</f>
        <v>8.1024999999999991</v>
      </c>
      <c r="H265" s="4">
        <f>CHOOSE( CONTROL!$C$33, 9.039, 9.0374) * CHOOSE(CONTROL!$C$16, $D$11, 100%, $F$11)</f>
        <v>9.0389999999999997</v>
      </c>
      <c r="I265" s="8">
        <f>CHOOSE( CONTROL!$C$33, 8.0466, 8.045) * CHOOSE(CONTROL!$C$16, $D$11, 100%, $F$11)</f>
        <v>8.0465999999999998</v>
      </c>
      <c r="J265" s="4">
        <f>CHOOSE( CONTROL!$C$33, 7.9172, 7.9156) * CHOOSE(CONTROL!$C$16, $D$11, 100%, $F$11)</f>
        <v>7.9172000000000002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1.2509999999999999</v>
      </c>
      <c r="Q265" s="9">
        <v>29.719799999999999</v>
      </c>
      <c r="R265" s="9"/>
      <c r="S265" s="11"/>
    </row>
    <row r="266" spans="1:19" ht="15.75">
      <c r="A266" s="13">
        <v>49218</v>
      </c>
      <c r="B266" s="8">
        <f>CHOOSE( CONTROL!$C$33, 8.5291, 8.528) * CHOOSE(CONTROL!$C$16, $D$11, 100%, $F$11)</f>
        <v>8.5290999999999997</v>
      </c>
      <c r="C266" s="8">
        <f>CHOOSE( CONTROL!$C$33, 8.5344, 8.5333) * CHOOSE(CONTROL!$C$16, $D$11, 100%, $F$11)</f>
        <v>8.5343999999999998</v>
      </c>
      <c r="D266" s="8">
        <f>CHOOSE( CONTROL!$C$33, 8.5588, 8.5577) * CHOOSE( CONTROL!$C$16, $D$11, 100%, $F$11)</f>
        <v>8.5587999999999997</v>
      </c>
      <c r="E266" s="12">
        <f>CHOOSE( CONTROL!$C$33, 8.5502, 8.5491) * CHOOSE( CONTROL!$C$16, $D$11, 100%, $F$11)</f>
        <v>8.5502000000000002</v>
      </c>
      <c r="F266" s="4">
        <f>CHOOSE( CONTROL!$C$33, 9.2583, 9.2573) * CHOOSE(CONTROL!$C$16, $D$11, 100%, $F$11)</f>
        <v>9.2583000000000002</v>
      </c>
      <c r="G266" s="8">
        <f>CHOOSE( CONTROL!$C$33, 8.4601, 8.4591) * CHOOSE( CONTROL!$C$16, $D$11, 100%, $F$11)</f>
        <v>8.4601000000000006</v>
      </c>
      <c r="H266" s="4">
        <f>CHOOSE( CONTROL!$C$33, 9.3966, 9.3955) * CHOOSE(CONTROL!$C$16, $D$11, 100%, $F$11)</f>
        <v>9.3965999999999994</v>
      </c>
      <c r="I266" s="8">
        <f>CHOOSE( CONTROL!$C$33, 8.3988, 8.3977) * CHOOSE(CONTROL!$C$16, $D$11, 100%, $F$11)</f>
        <v>8.3987999999999996</v>
      </c>
      <c r="J266" s="4">
        <f>CHOOSE( CONTROL!$C$33, 8.2683, 8.2673) * CHOOSE(CONTROL!$C$16, $D$11, 100%, $F$11)</f>
        <v>8.2683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1.2927</v>
      </c>
      <c r="Q266" s="9">
        <v>30.7105</v>
      </c>
      <c r="R266" s="9"/>
      <c r="S266" s="11"/>
    </row>
    <row r="267" spans="1:19" ht="15.75">
      <c r="A267" s="13">
        <v>49249</v>
      </c>
      <c r="B267" s="8">
        <f>CHOOSE( CONTROL!$C$33, 9.1975, 9.1964) * CHOOSE(CONTROL!$C$16, $D$11, 100%, $F$11)</f>
        <v>9.1974999999999998</v>
      </c>
      <c r="C267" s="8">
        <f>CHOOSE( CONTROL!$C$33, 9.2025, 9.2014) * CHOOSE(CONTROL!$C$16, $D$11, 100%, $F$11)</f>
        <v>9.2025000000000006</v>
      </c>
      <c r="D267" s="8">
        <f>CHOOSE( CONTROL!$C$33, 9.1929, 9.1918) * CHOOSE( CONTROL!$C$16, $D$11, 100%, $F$11)</f>
        <v>9.1928999999999998</v>
      </c>
      <c r="E267" s="12">
        <f>CHOOSE( CONTROL!$C$33, 9.1959, 9.1948) * CHOOSE( CONTROL!$C$16, $D$11, 100%, $F$11)</f>
        <v>9.1959</v>
      </c>
      <c r="F267" s="4">
        <f>CHOOSE( CONTROL!$C$33, 9.8576, 9.8565) * CHOOSE(CONTROL!$C$16, $D$11, 100%, $F$11)</f>
        <v>9.8575999999999997</v>
      </c>
      <c r="G267" s="8">
        <f>CHOOSE( CONTROL!$C$33, 9.1077, 9.1066) * CHOOSE( CONTROL!$C$16, $D$11, 100%, $F$11)</f>
        <v>9.1076999999999995</v>
      </c>
      <c r="H267" s="4">
        <f>CHOOSE( CONTROL!$C$33, 9.9888, 9.9877) * CHOOSE(CONTROL!$C$16, $D$11, 100%, $F$11)</f>
        <v>9.9887999999999995</v>
      </c>
      <c r="I267" s="8">
        <f>CHOOSE( CONTROL!$C$33, 9.1075, 9.1065) * CHOOSE(CONTROL!$C$16, $D$11, 100%, $F$11)</f>
        <v>9.1074999999999999</v>
      </c>
      <c r="J267" s="4">
        <f>CHOOSE( CONTROL!$C$33, 8.9174, 8.9163) * CHOOSE(CONTROL!$C$16, $D$11, 100%, $F$11)</f>
        <v>8.9174000000000007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29.719799999999999</v>
      </c>
      <c r="R267" s="9"/>
      <c r="S267" s="11"/>
    </row>
    <row r="268" spans="1:19" ht="15.75">
      <c r="A268" s="13">
        <v>49279</v>
      </c>
      <c r="B268" s="8">
        <f>CHOOSE( CONTROL!$C$33, 9.1807, 9.1797) * CHOOSE(CONTROL!$C$16, $D$11, 100%, $F$11)</f>
        <v>9.1806999999999999</v>
      </c>
      <c r="C268" s="8">
        <f>CHOOSE( CONTROL!$C$33, 9.1858, 9.1847) * CHOOSE(CONTROL!$C$16, $D$11, 100%, $F$11)</f>
        <v>9.1858000000000004</v>
      </c>
      <c r="D268" s="8">
        <f>CHOOSE( CONTROL!$C$33, 9.1776, 9.1766) * CHOOSE( CONTROL!$C$16, $D$11, 100%, $F$11)</f>
        <v>9.1776</v>
      </c>
      <c r="E268" s="12">
        <f>CHOOSE( CONTROL!$C$33, 9.1801, 9.179) * CHOOSE( CONTROL!$C$16, $D$11, 100%, $F$11)</f>
        <v>9.1800999999999995</v>
      </c>
      <c r="F268" s="4">
        <f>CHOOSE( CONTROL!$C$33, 9.8409, 9.8398) * CHOOSE(CONTROL!$C$16, $D$11, 100%, $F$11)</f>
        <v>9.8408999999999995</v>
      </c>
      <c r="G268" s="8">
        <f>CHOOSE( CONTROL!$C$33, 9.0922, 9.0911) * CHOOSE( CONTROL!$C$16, $D$11, 100%, $F$11)</f>
        <v>9.0922000000000001</v>
      </c>
      <c r="H268" s="4">
        <f>CHOOSE( CONTROL!$C$33, 9.9723, 9.9712) * CHOOSE(CONTROL!$C$16, $D$11, 100%, $F$11)</f>
        <v>9.9723000000000006</v>
      </c>
      <c r="I268" s="8">
        <f>CHOOSE( CONTROL!$C$33, 9.0957, 9.0947) * CHOOSE(CONTROL!$C$16, $D$11, 100%, $F$11)</f>
        <v>9.0957000000000008</v>
      </c>
      <c r="J268" s="4">
        <f>CHOOSE( CONTROL!$C$33, 8.9012, 8.9001) * CHOOSE(CONTROL!$C$16, $D$11, 100%, $F$11)</f>
        <v>8.9011999999999993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30.7105</v>
      </c>
      <c r="R268" s="9"/>
      <c r="S268" s="11"/>
    </row>
    <row r="269" spans="1:19" ht="15.75">
      <c r="A269" s="13">
        <v>49310</v>
      </c>
      <c r="B269" s="8">
        <f>CHOOSE( CONTROL!$C$33, 9.4512, 9.4502) * CHOOSE(CONTROL!$C$16, $D$11, 100%, $F$11)</f>
        <v>9.4512</v>
      </c>
      <c r="C269" s="8">
        <f>CHOOSE( CONTROL!$C$33, 9.4563, 9.4552) * CHOOSE(CONTROL!$C$16, $D$11, 100%, $F$11)</f>
        <v>9.4563000000000006</v>
      </c>
      <c r="D269" s="8">
        <f>CHOOSE( CONTROL!$C$33, 9.459, 9.4579) * CHOOSE( CONTROL!$C$16, $D$11, 100%, $F$11)</f>
        <v>9.4589999999999996</v>
      </c>
      <c r="E269" s="12">
        <f>CHOOSE( CONTROL!$C$33, 9.4575, 9.4564) * CHOOSE( CONTROL!$C$16, $D$11, 100%, $F$11)</f>
        <v>9.4574999999999996</v>
      </c>
      <c r="F269" s="4">
        <f>CHOOSE( CONTROL!$C$33, 10.1114, 10.1103) * CHOOSE(CONTROL!$C$16, $D$11, 100%, $F$11)</f>
        <v>10.1114</v>
      </c>
      <c r="G269" s="8">
        <f>CHOOSE( CONTROL!$C$33, 9.3623, 9.3613) * CHOOSE( CONTROL!$C$16, $D$11, 100%, $F$11)</f>
        <v>9.3622999999999994</v>
      </c>
      <c r="H269" s="4">
        <f>CHOOSE( CONTROL!$C$33, 10.2396, 10.2385) * CHOOSE(CONTROL!$C$16, $D$11, 100%, $F$11)</f>
        <v>10.239599999999999</v>
      </c>
      <c r="I269" s="8">
        <f>CHOOSE( CONTROL!$C$33, 9.3299, 9.3288) * CHOOSE(CONTROL!$C$16, $D$11, 100%, $F$11)</f>
        <v>9.3299000000000003</v>
      </c>
      <c r="J269" s="4">
        <f>CHOOSE( CONTROL!$C$33, 9.1637, 9.1626) * CHOOSE(CONTROL!$C$16, $D$11, 100%, $F$11)</f>
        <v>9.1637000000000004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30.645399999999999</v>
      </c>
      <c r="R269" s="9"/>
      <c r="S269" s="11"/>
    </row>
    <row r="270" spans="1:19" ht="15.75">
      <c r="A270" s="13">
        <v>49341</v>
      </c>
      <c r="B270" s="8">
        <f>CHOOSE( CONTROL!$C$33, 8.8409, 8.8398) * CHOOSE(CONTROL!$C$16, $D$11, 100%, $F$11)</f>
        <v>8.8408999999999995</v>
      </c>
      <c r="C270" s="8">
        <f>CHOOSE( CONTROL!$C$33, 8.846, 8.8449) * CHOOSE(CONTROL!$C$16, $D$11, 100%, $F$11)</f>
        <v>8.8460000000000001</v>
      </c>
      <c r="D270" s="8">
        <f>CHOOSE( CONTROL!$C$33, 8.8485, 8.8474) * CHOOSE( CONTROL!$C$16, $D$11, 100%, $F$11)</f>
        <v>8.8484999999999996</v>
      </c>
      <c r="E270" s="12">
        <f>CHOOSE( CONTROL!$C$33, 8.847, 8.8459) * CHOOSE( CONTROL!$C$16, $D$11, 100%, $F$11)</f>
        <v>8.8469999999999995</v>
      </c>
      <c r="F270" s="4">
        <f>CHOOSE( CONTROL!$C$33, 9.501, 9.4999) * CHOOSE(CONTROL!$C$16, $D$11, 100%, $F$11)</f>
        <v>9.5009999999999994</v>
      </c>
      <c r="G270" s="8">
        <f>CHOOSE( CONTROL!$C$33, 8.7591, 8.758) * CHOOSE( CONTROL!$C$16, $D$11, 100%, $F$11)</f>
        <v>8.7591000000000001</v>
      </c>
      <c r="H270" s="4">
        <f>CHOOSE( CONTROL!$C$33, 9.6364, 9.6353) * CHOOSE(CONTROL!$C$16, $D$11, 100%, $F$11)</f>
        <v>9.6364000000000001</v>
      </c>
      <c r="I270" s="8">
        <f>CHOOSE( CONTROL!$C$33, 8.737, 8.7359) * CHOOSE(CONTROL!$C$16, $D$11, 100%, $F$11)</f>
        <v>8.7370000000000001</v>
      </c>
      <c r="J270" s="4">
        <f>CHOOSE( CONTROL!$C$33, 8.5713, 8.5703) * CHOOSE(CONTROL!$C$16, $D$11, 100%, $F$11)</f>
        <v>8.5713000000000008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27.6797</v>
      </c>
      <c r="R270" s="9"/>
      <c r="S270" s="11"/>
    </row>
    <row r="271" spans="1:19" ht="15.75">
      <c r="A271" s="13">
        <v>49369</v>
      </c>
      <c r="B271" s="8">
        <f>CHOOSE( CONTROL!$C$33, 8.6529, 8.6518) * CHOOSE(CONTROL!$C$16, $D$11, 100%, $F$11)</f>
        <v>8.6529000000000007</v>
      </c>
      <c r="C271" s="8">
        <f>CHOOSE( CONTROL!$C$33, 8.658, 8.6569) * CHOOSE(CONTROL!$C$16, $D$11, 100%, $F$11)</f>
        <v>8.6579999999999995</v>
      </c>
      <c r="D271" s="8">
        <f>CHOOSE( CONTROL!$C$33, 8.6599, 8.6588) * CHOOSE( CONTROL!$C$16, $D$11, 100%, $F$11)</f>
        <v>8.6599000000000004</v>
      </c>
      <c r="E271" s="12">
        <f>CHOOSE( CONTROL!$C$33, 8.6587, 8.6576) * CHOOSE( CONTROL!$C$16, $D$11, 100%, $F$11)</f>
        <v>8.6586999999999996</v>
      </c>
      <c r="F271" s="4">
        <f>CHOOSE( CONTROL!$C$33, 9.313, 9.312) * CHOOSE(CONTROL!$C$16, $D$11, 100%, $F$11)</f>
        <v>9.3130000000000006</v>
      </c>
      <c r="G271" s="8">
        <f>CHOOSE( CONTROL!$C$33, 8.5728, 8.5717) * CHOOSE( CONTROL!$C$16, $D$11, 100%, $F$11)</f>
        <v>8.5728000000000009</v>
      </c>
      <c r="H271" s="4">
        <f>CHOOSE( CONTROL!$C$33, 9.4506, 9.4495) * CHOOSE(CONTROL!$C$16, $D$11, 100%, $F$11)</f>
        <v>9.4505999999999997</v>
      </c>
      <c r="I271" s="8">
        <f>CHOOSE( CONTROL!$C$33, 8.5523, 8.5512) * CHOOSE(CONTROL!$C$16, $D$11, 100%, $F$11)</f>
        <v>8.5523000000000007</v>
      </c>
      <c r="J271" s="4">
        <f>CHOOSE( CONTROL!$C$33, 8.3889, 8.3878) * CHOOSE(CONTROL!$C$16, $D$11, 100%, $F$11)</f>
        <v>8.3888999999999996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30.645399999999999</v>
      </c>
      <c r="R271" s="9"/>
      <c r="S271" s="11"/>
    </row>
    <row r="272" spans="1:19" ht="15.75">
      <c r="A272" s="13">
        <v>49400</v>
      </c>
      <c r="B272" s="8">
        <f>CHOOSE( CONTROL!$C$33, 8.785, 8.7839) * CHOOSE(CONTROL!$C$16, $D$11, 100%, $F$11)</f>
        <v>8.7850000000000001</v>
      </c>
      <c r="C272" s="8">
        <f>CHOOSE( CONTROL!$C$33, 8.7895, 8.7885) * CHOOSE(CONTROL!$C$16, $D$11, 100%, $F$11)</f>
        <v>8.7895000000000003</v>
      </c>
      <c r="D272" s="8">
        <f>CHOOSE( CONTROL!$C$33, 8.8139, 8.8128) * CHOOSE( CONTROL!$C$16, $D$11, 100%, $F$11)</f>
        <v>8.8139000000000003</v>
      </c>
      <c r="E272" s="12">
        <f>CHOOSE( CONTROL!$C$33, 8.8053, 8.8042) * CHOOSE( CONTROL!$C$16, $D$11, 100%, $F$11)</f>
        <v>8.8053000000000008</v>
      </c>
      <c r="F272" s="4">
        <f>CHOOSE( CONTROL!$C$33, 9.5139, 9.5129) * CHOOSE(CONTROL!$C$16, $D$11, 100%, $F$11)</f>
        <v>9.5138999999999996</v>
      </c>
      <c r="G272" s="8">
        <f>CHOOSE( CONTROL!$C$33, 8.7123, 8.7112) * CHOOSE( CONTROL!$C$16, $D$11, 100%, $F$11)</f>
        <v>8.7123000000000008</v>
      </c>
      <c r="H272" s="4">
        <f>CHOOSE( CONTROL!$C$33, 9.6492, 9.6481) * CHOOSE(CONTROL!$C$16, $D$11, 100%, $F$11)</f>
        <v>9.6492000000000004</v>
      </c>
      <c r="I272" s="8">
        <f>CHOOSE( CONTROL!$C$33, 8.6451, 8.644) * CHOOSE(CONTROL!$C$16, $D$11, 100%, $F$11)</f>
        <v>8.6450999999999993</v>
      </c>
      <c r="J272" s="4">
        <f>CHOOSE( CONTROL!$C$33, 8.5164, 8.5153) * CHOOSE(CONTROL!$C$16, $D$11, 100%, $F$11)</f>
        <v>8.5164000000000009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1.2509999999999999</v>
      </c>
      <c r="Q272" s="9">
        <v>29.6568</v>
      </c>
      <c r="R272" s="9"/>
      <c r="S272" s="11"/>
    </row>
    <row r="273" spans="1:19" ht="15.75">
      <c r="A273" s="13">
        <v>49430</v>
      </c>
      <c r="B273" s="8">
        <f>CHOOSE( CONTROL!$C$33, 9.0208, 9.0191) * CHOOSE(CONTROL!$C$16, $D$11, 100%, $F$11)</f>
        <v>9.0207999999999995</v>
      </c>
      <c r="C273" s="8">
        <f>CHOOSE( CONTROL!$C$33, 9.0287, 9.0271) * CHOOSE(CONTROL!$C$16, $D$11, 100%, $F$11)</f>
        <v>9.0287000000000006</v>
      </c>
      <c r="D273" s="8">
        <f>CHOOSE( CONTROL!$C$33, 9.047, 9.0454) * CHOOSE( CONTROL!$C$16, $D$11, 100%, $F$11)</f>
        <v>9.0470000000000006</v>
      </c>
      <c r="E273" s="12">
        <f>CHOOSE( CONTROL!$C$33, 9.0392, 9.0375) * CHOOSE( CONTROL!$C$16, $D$11, 100%, $F$11)</f>
        <v>9.0391999999999992</v>
      </c>
      <c r="F273" s="4">
        <f>CHOOSE( CONTROL!$C$33, 9.7483, 9.7467) * CHOOSE(CONTROL!$C$16, $D$11, 100%, $F$11)</f>
        <v>9.7483000000000004</v>
      </c>
      <c r="G273" s="8">
        <f>CHOOSE( CONTROL!$C$33, 8.9438, 8.9422) * CHOOSE( CONTROL!$C$16, $D$11, 100%, $F$11)</f>
        <v>8.9437999999999995</v>
      </c>
      <c r="H273" s="4">
        <f>CHOOSE( CONTROL!$C$33, 9.8808, 9.8792) * CHOOSE(CONTROL!$C$16, $D$11, 100%, $F$11)</f>
        <v>9.8808000000000007</v>
      </c>
      <c r="I273" s="8">
        <f>CHOOSE( CONTROL!$C$33, 8.8721, 8.8704) * CHOOSE(CONTROL!$C$16, $D$11, 100%, $F$11)</f>
        <v>8.8720999999999997</v>
      </c>
      <c r="J273" s="4">
        <f>CHOOSE( CONTROL!$C$33, 8.7438, 8.7422) * CHOOSE(CONTROL!$C$16, $D$11, 100%, $F$11)</f>
        <v>8.7438000000000002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1.2927</v>
      </c>
      <c r="Q273" s="9">
        <v>30.645399999999999</v>
      </c>
      <c r="R273" s="9"/>
      <c r="S273" s="11"/>
    </row>
    <row r="274" spans="1:19" ht="15.75">
      <c r="A274" s="14">
        <v>49461</v>
      </c>
      <c r="B274" s="8">
        <f>CHOOSE( CONTROL!$C$33, 8.8759, 8.8743) * CHOOSE(CONTROL!$C$16, $D$11, 100%, $F$11)</f>
        <v>8.8758999999999997</v>
      </c>
      <c r="C274" s="8">
        <f>CHOOSE( CONTROL!$C$33, 8.8839, 8.8823) * CHOOSE(CONTROL!$C$16, $D$11, 100%, $F$11)</f>
        <v>8.8839000000000006</v>
      </c>
      <c r="D274" s="8">
        <f>CHOOSE( CONTROL!$C$33, 8.9025, 8.9008) * CHOOSE( CONTROL!$C$16, $D$11, 100%, $F$11)</f>
        <v>8.9024999999999999</v>
      </c>
      <c r="E274" s="12">
        <f>CHOOSE( CONTROL!$C$33, 8.8945, 8.8929) * CHOOSE( CONTROL!$C$16, $D$11, 100%, $F$11)</f>
        <v>8.8945000000000007</v>
      </c>
      <c r="F274" s="4">
        <f>CHOOSE( CONTROL!$C$33, 9.6035, 9.6018) * CHOOSE(CONTROL!$C$16, $D$11, 100%, $F$11)</f>
        <v>9.6035000000000004</v>
      </c>
      <c r="G274" s="8">
        <f>CHOOSE( CONTROL!$C$33, 8.8009, 8.7993) * CHOOSE( CONTROL!$C$16, $D$11, 100%, $F$11)</f>
        <v>8.8009000000000004</v>
      </c>
      <c r="H274" s="4">
        <f>CHOOSE( CONTROL!$C$33, 9.7377, 9.736) * CHOOSE(CONTROL!$C$16, $D$11, 100%, $F$11)</f>
        <v>9.7377000000000002</v>
      </c>
      <c r="I274" s="8">
        <f>CHOOSE( CONTROL!$C$33, 8.7323, 8.7307) * CHOOSE(CONTROL!$C$16, $D$11, 100%, $F$11)</f>
        <v>8.7323000000000004</v>
      </c>
      <c r="J274" s="4">
        <f>CHOOSE( CONTROL!$C$33, 8.6033, 8.6017) * CHOOSE(CONTROL!$C$16, $D$11, 100%, $F$11)</f>
        <v>8.6033000000000008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1.2509999999999999</v>
      </c>
      <c r="Q274" s="9">
        <v>29.6568</v>
      </c>
      <c r="R274" s="9"/>
      <c r="S274" s="11"/>
    </row>
    <row r="275" spans="1:19" ht="15.75">
      <c r="A275" s="14">
        <v>49491</v>
      </c>
      <c r="B275" s="8">
        <f>CHOOSE( CONTROL!$C$33, 9.2573, 9.2557) * CHOOSE(CONTROL!$C$16, $D$11, 100%, $F$11)</f>
        <v>9.2573000000000008</v>
      </c>
      <c r="C275" s="8">
        <f>CHOOSE( CONTROL!$C$33, 9.2653, 9.2636) * CHOOSE(CONTROL!$C$16, $D$11, 100%, $F$11)</f>
        <v>9.2652999999999999</v>
      </c>
      <c r="D275" s="8">
        <f>CHOOSE( CONTROL!$C$33, 9.2841, 9.2824) * CHOOSE( CONTROL!$C$16, $D$11, 100%, $F$11)</f>
        <v>9.2841000000000005</v>
      </c>
      <c r="E275" s="12">
        <f>CHOOSE( CONTROL!$C$33, 9.2761, 9.2744) * CHOOSE( CONTROL!$C$16, $D$11, 100%, $F$11)</f>
        <v>9.2760999999999996</v>
      </c>
      <c r="F275" s="4">
        <f>CHOOSE( CONTROL!$C$33, 9.9849, 9.9832) * CHOOSE(CONTROL!$C$16, $D$11, 100%, $F$11)</f>
        <v>9.9848999999999997</v>
      </c>
      <c r="G275" s="8">
        <f>CHOOSE( CONTROL!$C$33, 9.178, 9.1764) * CHOOSE( CONTROL!$C$16, $D$11, 100%, $F$11)</f>
        <v>9.1780000000000008</v>
      </c>
      <c r="H275" s="4">
        <f>CHOOSE( CONTROL!$C$33, 10.1146, 10.1129) * CHOOSE(CONTROL!$C$16, $D$11, 100%, $F$11)</f>
        <v>10.114599999999999</v>
      </c>
      <c r="I275" s="8">
        <f>CHOOSE( CONTROL!$C$33, 9.1034, 9.1018) * CHOOSE(CONTROL!$C$16, $D$11, 100%, $F$11)</f>
        <v>9.1034000000000006</v>
      </c>
      <c r="J275" s="4">
        <f>CHOOSE( CONTROL!$C$33, 8.9734, 8.9718) * CHOOSE(CONTROL!$C$16, $D$11, 100%, $F$11)</f>
        <v>8.9733999999999998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1.2927</v>
      </c>
      <c r="Q275" s="9">
        <v>30.645399999999999</v>
      </c>
      <c r="R275" s="9"/>
      <c r="S275" s="11"/>
    </row>
    <row r="276" spans="1:19" ht="15.75">
      <c r="A276" s="14">
        <v>49522</v>
      </c>
      <c r="B276" s="8">
        <f>CHOOSE( CONTROL!$C$33, 8.5437, 8.5421) * CHOOSE(CONTROL!$C$16, $D$11, 100%, $F$11)</f>
        <v>8.5436999999999994</v>
      </c>
      <c r="C276" s="8">
        <f>CHOOSE( CONTROL!$C$33, 8.5517, 8.55) * CHOOSE(CONTROL!$C$16, $D$11, 100%, $F$11)</f>
        <v>8.5517000000000003</v>
      </c>
      <c r="D276" s="8">
        <f>CHOOSE( CONTROL!$C$33, 8.5706, 8.5689) * CHOOSE( CONTROL!$C$16, $D$11, 100%, $F$11)</f>
        <v>8.5706000000000007</v>
      </c>
      <c r="E276" s="12">
        <f>CHOOSE( CONTROL!$C$33, 8.5625, 8.5608) * CHOOSE( CONTROL!$C$16, $D$11, 100%, $F$11)</f>
        <v>8.5625</v>
      </c>
      <c r="F276" s="4">
        <f>CHOOSE( CONTROL!$C$33, 9.2713, 9.2696) * CHOOSE(CONTROL!$C$16, $D$11, 100%, $F$11)</f>
        <v>9.2713000000000001</v>
      </c>
      <c r="G276" s="8">
        <f>CHOOSE( CONTROL!$C$33, 8.4728, 8.4712) * CHOOSE( CONTROL!$C$16, $D$11, 100%, $F$11)</f>
        <v>8.4727999999999994</v>
      </c>
      <c r="H276" s="4">
        <f>CHOOSE( CONTROL!$C$33, 9.4093, 9.4077) * CHOOSE(CONTROL!$C$16, $D$11, 100%, $F$11)</f>
        <v>9.4093</v>
      </c>
      <c r="I276" s="8">
        <f>CHOOSE( CONTROL!$C$33, 8.4108, 8.4092) * CHOOSE(CONTROL!$C$16, $D$11, 100%, $F$11)</f>
        <v>8.4108000000000001</v>
      </c>
      <c r="J276" s="4">
        <f>CHOOSE( CONTROL!$C$33, 8.2809, 8.2792) * CHOOSE(CONTROL!$C$16, $D$11, 100%, $F$11)</f>
        <v>8.2809000000000008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1.2927</v>
      </c>
      <c r="Q276" s="9">
        <v>30.645399999999999</v>
      </c>
      <c r="R276" s="9"/>
      <c r="S276" s="11"/>
    </row>
    <row r="277" spans="1:19" ht="15.75">
      <c r="A277" s="14">
        <v>49553</v>
      </c>
      <c r="B277" s="8">
        <f>CHOOSE( CONTROL!$C$33, 8.365, 8.3634) * CHOOSE(CONTROL!$C$16, $D$11, 100%, $F$11)</f>
        <v>8.3650000000000002</v>
      </c>
      <c r="C277" s="8">
        <f>CHOOSE( CONTROL!$C$33, 8.373, 8.3713) * CHOOSE(CONTROL!$C$16, $D$11, 100%, $F$11)</f>
        <v>8.3729999999999993</v>
      </c>
      <c r="D277" s="8">
        <f>CHOOSE( CONTROL!$C$33, 8.3918, 8.3901) * CHOOSE( CONTROL!$C$16, $D$11, 100%, $F$11)</f>
        <v>8.3917999999999999</v>
      </c>
      <c r="E277" s="12">
        <f>CHOOSE( CONTROL!$C$33, 8.3838, 8.3821) * CHOOSE( CONTROL!$C$16, $D$11, 100%, $F$11)</f>
        <v>8.3838000000000008</v>
      </c>
      <c r="F277" s="4">
        <f>CHOOSE( CONTROL!$C$33, 9.0926, 9.0909) * CHOOSE(CONTROL!$C$16, $D$11, 100%, $F$11)</f>
        <v>9.0925999999999991</v>
      </c>
      <c r="G277" s="8">
        <f>CHOOSE( CONTROL!$C$33, 8.2961, 8.2945) * CHOOSE( CONTROL!$C$16, $D$11, 100%, $F$11)</f>
        <v>8.2960999999999991</v>
      </c>
      <c r="H277" s="4">
        <f>CHOOSE( CONTROL!$C$33, 9.2327, 9.2311) * CHOOSE(CONTROL!$C$16, $D$11, 100%, $F$11)</f>
        <v>9.2326999999999995</v>
      </c>
      <c r="I277" s="8">
        <f>CHOOSE( CONTROL!$C$33, 8.2369, 8.2353) * CHOOSE(CONTROL!$C$16, $D$11, 100%, $F$11)</f>
        <v>8.2369000000000003</v>
      </c>
      <c r="J277" s="4">
        <f>CHOOSE( CONTROL!$C$33, 8.1074, 8.1058) * CHOOSE(CONTROL!$C$16, $D$11, 100%, $F$11)</f>
        <v>8.1074000000000002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1.2509999999999999</v>
      </c>
      <c r="Q277" s="9">
        <v>29.6568</v>
      </c>
      <c r="R277" s="9"/>
      <c r="S277" s="11"/>
    </row>
    <row r="278" spans="1:19" ht="15.75">
      <c r="A278" s="14">
        <v>49583</v>
      </c>
      <c r="B278" s="8">
        <f>CHOOSE( CONTROL!$C$33, 8.7338, 8.7327) * CHOOSE(CONTROL!$C$16, $D$11, 100%, $F$11)</f>
        <v>8.7338000000000005</v>
      </c>
      <c r="C278" s="8">
        <f>CHOOSE( CONTROL!$C$33, 8.7391, 8.738) * CHOOSE(CONTROL!$C$16, $D$11, 100%, $F$11)</f>
        <v>8.7391000000000005</v>
      </c>
      <c r="D278" s="8">
        <f>CHOOSE( CONTROL!$C$33, 8.7635, 8.7624) * CHOOSE( CONTROL!$C$16, $D$11, 100%, $F$11)</f>
        <v>8.7635000000000005</v>
      </c>
      <c r="E278" s="12">
        <f>CHOOSE( CONTROL!$C$33, 8.7549, 8.7538) * CHOOSE( CONTROL!$C$16, $D$11, 100%, $F$11)</f>
        <v>8.7548999999999992</v>
      </c>
      <c r="F278" s="4">
        <f>CHOOSE( CONTROL!$C$33, 9.463, 9.4619) * CHOOSE(CONTROL!$C$16, $D$11, 100%, $F$11)</f>
        <v>9.4629999999999992</v>
      </c>
      <c r="G278" s="8">
        <f>CHOOSE( CONTROL!$C$33, 8.6624, 8.6614) * CHOOSE( CONTROL!$C$16, $D$11, 100%, $F$11)</f>
        <v>8.6623999999999999</v>
      </c>
      <c r="H278" s="4">
        <f>CHOOSE( CONTROL!$C$33, 9.5989, 9.5978) * CHOOSE(CONTROL!$C$16, $D$11, 100%, $F$11)</f>
        <v>9.5989000000000004</v>
      </c>
      <c r="I278" s="8">
        <f>CHOOSE( CONTROL!$C$33, 8.5975, 8.5965) * CHOOSE(CONTROL!$C$16, $D$11, 100%, $F$11)</f>
        <v>8.5975000000000001</v>
      </c>
      <c r="J278" s="4">
        <f>CHOOSE( CONTROL!$C$33, 8.467, 8.4659) * CHOOSE(CONTROL!$C$16, $D$11, 100%, $F$11)</f>
        <v>8.4670000000000005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1.2927</v>
      </c>
      <c r="Q278" s="9">
        <v>30.645399999999999</v>
      </c>
      <c r="R278" s="9"/>
      <c r="S278" s="11"/>
    </row>
    <row r="279" spans="1:19" ht="15.75">
      <c r="A279" s="14">
        <v>49614</v>
      </c>
      <c r="B279" s="8">
        <f>CHOOSE( CONTROL!$C$33, 9.4182, 9.4171) * CHOOSE(CONTROL!$C$16, $D$11, 100%, $F$11)</f>
        <v>9.4182000000000006</v>
      </c>
      <c r="C279" s="8">
        <f>CHOOSE( CONTROL!$C$33, 9.4233, 9.4222) * CHOOSE(CONTROL!$C$16, $D$11, 100%, $F$11)</f>
        <v>9.4232999999999993</v>
      </c>
      <c r="D279" s="8">
        <f>CHOOSE( CONTROL!$C$33, 9.4137, 9.4126) * CHOOSE( CONTROL!$C$16, $D$11, 100%, $F$11)</f>
        <v>9.4137000000000004</v>
      </c>
      <c r="E279" s="12">
        <f>CHOOSE( CONTROL!$C$33, 9.4167, 9.4156) * CHOOSE( CONTROL!$C$16, $D$11, 100%, $F$11)</f>
        <v>9.4167000000000005</v>
      </c>
      <c r="F279" s="4">
        <f>CHOOSE( CONTROL!$C$33, 10.0783, 10.0772) * CHOOSE(CONTROL!$C$16, $D$11, 100%, $F$11)</f>
        <v>10.0783</v>
      </c>
      <c r="G279" s="8">
        <f>CHOOSE( CONTROL!$C$33, 9.3258, 9.3247) * CHOOSE( CONTROL!$C$16, $D$11, 100%, $F$11)</f>
        <v>9.3257999999999992</v>
      </c>
      <c r="H279" s="4">
        <f>CHOOSE( CONTROL!$C$33, 10.2069, 10.2059) * CHOOSE(CONTROL!$C$16, $D$11, 100%, $F$11)</f>
        <v>10.206899999999999</v>
      </c>
      <c r="I279" s="8">
        <f>CHOOSE( CONTROL!$C$33, 9.3219, 9.3208) * CHOOSE(CONTROL!$C$16, $D$11, 100%, $F$11)</f>
        <v>9.3218999999999994</v>
      </c>
      <c r="J279" s="4">
        <f>CHOOSE( CONTROL!$C$33, 9.1316, 9.1306) * CHOOSE(CONTROL!$C$16, $D$11, 100%, $F$11)</f>
        <v>9.1316000000000006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29.6568</v>
      </c>
      <c r="R279" s="9"/>
      <c r="S279" s="11"/>
    </row>
    <row r="280" spans="1:19" ht="15.75">
      <c r="A280" s="14">
        <v>49644</v>
      </c>
      <c r="B280" s="8">
        <f>CHOOSE( CONTROL!$C$33, 9.4011, 9.4) * CHOOSE(CONTROL!$C$16, $D$11, 100%, $F$11)</f>
        <v>9.4010999999999996</v>
      </c>
      <c r="C280" s="8">
        <f>CHOOSE( CONTROL!$C$33, 9.4062, 9.4051) * CHOOSE(CONTROL!$C$16, $D$11, 100%, $F$11)</f>
        <v>9.4062000000000001</v>
      </c>
      <c r="D280" s="8">
        <f>CHOOSE( CONTROL!$C$33, 9.398, 9.3969) * CHOOSE( CONTROL!$C$16, $D$11, 100%, $F$11)</f>
        <v>9.3979999999999997</v>
      </c>
      <c r="E280" s="12">
        <f>CHOOSE( CONTROL!$C$33, 9.4005, 9.3994) * CHOOSE( CONTROL!$C$16, $D$11, 100%, $F$11)</f>
        <v>9.4004999999999992</v>
      </c>
      <c r="F280" s="4">
        <f>CHOOSE( CONTROL!$C$33, 10.0612, 10.0601) * CHOOSE(CONTROL!$C$16, $D$11, 100%, $F$11)</f>
        <v>10.061199999999999</v>
      </c>
      <c r="G280" s="8">
        <f>CHOOSE( CONTROL!$C$33, 9.3099, 9.3089) * CHOOSE( CONTROL!$C$16, $D$11, 100%, $F$11)</f>
        <v>9.3099000000000007</v>
      </c>
      <c r="H280" s="4">
        <f>CHOOSE( CONTROL!$C$33, 10.19, 10.189) * CHOOSE(CONTROL!$C$16, $D$11, 100%, $F$11)</f>
        <v>10.19</v>
      </c>
      <c r="I280" s="8">
        <f>CHOOSE( CONTROL!$C$33, 9.3097, 9.3086) * CHOOSE(CONTROL!$C$16, $D$11, 100%, $F$11)</f>
        <v>9.3096999999999994</v>
      </c>
      <c r="J280" s="4">
        <f>CHOOSE( CONTROL!$C$33, 9.115, 9.114) * CHOOSE(CONTROL!$C$16, $D$11, 100%, $F$11)</f>
        <v>9.1150000000000002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30.645399999999999</v>
      </c>
      <c r="R280" s="9"/>
      <c r="S280" s="11"/>
    </row>
    <row r="281" spans="1:19" ht="15.75">
      <c r="A281" s="14">
        <v>49675</v>
      </c>
      <c r="B281" s="8">
        <f>CHOOSE( CONTROL!$C$33, 9.6781, 9.677) * CHOOSE(CONTROL!$C$16, $D$11, 100%, $F$11)</f>
        <v>9.6781000000000006</v>
      </c>
      <c r="C281" s="8">
        <f>CHOOSE( CONTROL!$C$33, 9.6832, 9.6821) * CHOOSE(CONTROL!$C$16, $D$11, 100%, $F$11)</f>
        <v>9.6831999999999994</v>
      </c>
      <c r="D281" s="8">
        <f>CHOOSE( CONTROL!$C$33, 9.6858, 9.6847) * CHOOSE( CONTROL!$C$16, $D$11, 100%, $F$11)</f>
        <v>9.6858000000000004</v>
      </c>
      <c r="E281" s="12">
        <f>CHOOSE( CONTROL!$C$33, 9.6843, 9.6832) * CHOOSE( CONTROL!$C$16, $D$11, 100%, $F$11)</f>
        <v>9.6843000000000004</v>
      </c>
      <c r="F281" s="4">
        <f>CHOOSE( CONTROL!$C$33, 10.3382, 10.3371) * CHOOSE(CONTROL!$C$16, $D$11, 100%, $F$11)</f>
        <v>10.338200000000001</v>
      </c>
      <c r="G281" s="8">
        <f>CHOOSE( CONTROL!$C$33, 9.5865, 9.5855) * CHOOSE( CONTROL!$C$16, $D$11, 100%, $F$11)</f>
        <v>9.5864999999999991</v>
      </c>
      <c r="H281" s="4">
        <f>CHOOSE( CONTROL!$C$33, 10.4638, 10.4627) * CHOOSE(CONTROL!$C$16, $D$11, 100%, $F$11)</f>
        <v>10.463800000000001</v>
      </c>
      <c r="I281" s="8">
        <f>CHOOSE( CONTROL!$C$33, 9.5501, 9.5491) * CHOOSE(CONTROL!$C$16, $D$11, 100%, $F$11)</f>
        <v>9.5501000000000005</v>
      </c>
      <c r="J281" s="4">
        <f>CHOOSE( CONTROL!$C$33, 9.3838, 9.3828) * CHOOSE(CONTROL!$C$16, $D$11, 100%, $F$11)</f>
        <v>9.3838000000000008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30.580300000000001</v>
      </c>
      <c r="R281" s="9"/>
      <c r="S281" s="11"/>
    </row>
    <row r="282" spans="1:19" ht="15.75">
      <c r="A282" s="14">
        <v>49706</v>
      </c>
      <c r="B282" s="8">
        <f>CHOOSE( CONTROL!$C$33, 9.0531, 9.052) * CHOOSE(CONTROL!$C$16, $D$11, 100%, $F$11)</f>
        <v>9.0531000000000006</v>
      </c>
      <c r="C282" s="8">
        <f>CHOOSE( CONTROL!$C$33, 9.0582, 9.0571) * CHOOSE(CONTROL!$C$16, $D$11, 100%, $F$11)</f>
        <v>9.0581999999999994</v>
      </c>
      <c r="D282" s="8">
        <f>CHOOSE( CONTROL!$C$33, 9.0607, 9.0596) * CHOOSE( CONTROL!$C$16, $D$11, 100%, $F$11)</f>
        <v>9.0607000000000006</v>
      </c>
      <c r="E282" s="12">
        <f>CHOOSE( CONTROL!$C$33, 9.0592, 9.0581) * CHOOSE( CONTROL!$C$16, $D$11, 100%, $F$11)</f>
        <v>9.0592000000000006</v>
      </c>
      <c r="F282" s="4">
        <f>CHOOSE( CONTROL!$C$33, 9.7132, 9.7121) * CHOOSE(CONTROL!$C$16, $D$11, 100%, $F$11)</f>
        <v>9.7132000000000005</v>
      </c>
      <c r="G282" s="8">
        <f>CHOOSE( CONTROL!$C$33, 8.9688, 8.9677) * CHOOSE( CONTROL!$C$16, $D$11, 100%, $F$11)</f>
        <v>8.9687999999999999</v>
      </c>
      <c r="H282" s="4">
        <f>CHOOSE( CONTROL!$C$33, 9.8461, 9.845) * CHOOSE(CONTROL!$C$16, $D$11, 100%, $F$11)</f>
        <v>9.8460999999999999</v>
      </c>
      <c r="I282" s="8">
        <f>CHOOSE( CONTROL!$C$33, 8.943, 8.9419) * CHOOSE(CONTROL!$C$16, $D$11, 100%, $F$11)</f>
        <v>8.9429999999999996</v>
      </c>
      <c r="J282" s="4">
        <f>CHOOSE( CONTROL!$C$33, 8.7773, 8.7762) * CHOOSE(CONTROL!$C$16, $D$11, 100%, $F$11)</f>
        <v>8.7773000000000003</v>
      </c>
      <c r="K282" s="4"/>
      <c r="L282" s="9">
        <v>27.415299999999998</v>
      </c>
      <c r="M282" s="9">
        <v>11.285299999999999</v>
      </c>
      <c r="N282" s="9">
        <v>4.6254999999999997</v>
      </c>
      <c r="O282" s="9">
        <v>0.34989999999999999</v>
      </c>
      <c r="P282" s="9">
        <v>1.2093</v>
      </c>
      <c r="Q282" s="9">
        <v>28.607299999999999</v>
      </c>
      <c r="R282" s="9"/>
      <c r="S282" s="11"/>
    </row>
    <row r="283" spans="1:19" ht="15.75">
      <c r="A283" s="14">
        <v>49735</v>
      </c>
      <c r="B283" s="8">
        <f>CHOOSE( CONTROL!$C$33, 8.8606, 8.8595) * CHOOSE(CONTROL!$C$16, $D$11, 100%, $F$11)</f>
        <v>8.8605999999999998</v>
      </c>
      <c r="C283" s="8">
        <f>CHOOSE( CONTROL!$C$33, 8.8656, 8.8646) * CHOOSE(CONTROL!$C$16, $D$11, 100%, $F$11)</f>
        <v>8.8656000000000006</v>
      </c>
      <c r="D283" s="8">
        <f>CHOOSE( CONTROL!$C$33, 8.8675, 8.8664) * CHOOSE( CONTROL!$C$16, $D$11, 100%, $F$11)</f>
        <v>8.8674999999999997</v>
      </c>
      <c r="E283" s="12">
        <f>CHOOSE( CONTROL!$C$33, 8.8663, 8.8652) * CHOOSE( CONTROL!$C$16, $D$11, 100%, $F$11)</f>
        <v>8.8663000000000007</v>
      </c>
      <c r="F283" s="4">
        <f>CHOOSE( CONTROL!$C$33, 9.5207, 9.5196) * CHOOSE(CONTROL!$C$16, $D$11, 100%, $F$11)</f>
        <v>9.5206999999999997</v>
      </c>
      <c r="G283" s="8">
        <f>CHOOSE( CONTROL!$C$33, 8.778, 8.777) * CHOOSE( CONTROL!$C$16, $D$11, 100%, $F$11)</f>
        <v>8.7780000000000005</v>
      </c>
      <c r="H283" s="4">
        <f>CHOOSE( CONTROL!$C$33, 9.6558, 9.6548) * CHOOSE(CONTROL!$C$16, $D$11, 100%, $F$11)</f>
        <v>9.6557999999999993</v>
      </c>
      <c r="I283" s="8">
        <f>CHOOSE( CONTROL!$C$33, 8.7539, 8.7529) * CHOOSE(CONTROL!$C$16, $D$11, 100%, $F$11)</f>
        <v>8.7538999999999998</v>
      </c>
      <c r="J283" s="4">
        <f>CHOOSE( CONTROL!$C$33, 8.5904, 8.5894) * CHOOSE(CONTROL!$C$16, $D$11, 100%, $F$11)</f>
        <v>8.5904000000000007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30.580300000000001</v>
      </c>
      <c r="R283" s="9"/>
      <c r="S283" s="11"/>
    </row>
    <row r="284" spans="1:19" ht="15.75">
      <c r="A284" s="14">
        <v>49766</v>
      </c>
      <c r="B284" s="8">
        <f>CHOOSE( CONTROL!$C$33, 8.9959, 8.9948) * CHOOSE(CONTROL!$C$16, $D$11, 100%, $F$11)</f>
        <v>8.9959000000000007</v>
      </c>
      <c r="C284" s="8">
        <f>CHOOSE( CONTROL!$C$33, 9.0004, 8.9993) * CHOOSE(CONTROL!$C$16, $D$11, 100%, $F$11)</f>
        <v>9.0004000000000008</v>
      </c>
      <c r="D284" s="8">
        <f>CHOOSE( CONTROL!$C$33, 9.0247, 9.0236) * CHOOSE( CONTROL!$C$16, $D$11, 100%, $F$11)</f>
        <v>9.0246999999999993</v>
      </c>
      <c r="E284" s="12">
        <f>CHOOSE( CONTROL!$C$33, 9.0162, 9.0151) * CHOOSE( CONTROL!$C$16, $D$11, 100%, $F$11)</f>
        <v>9.0161999999999995</v>
      </c>
      <c r="F284" s="4">
        <f>CHOOSE( CONTROL!$C$33, 9.7248, 9.7237) * CHOOSE(CONTROL!$C$16, $D$11, 100%, $F$11)</f>
        <v>9.7248000000000001</v>
      </c>
      <c r="G284" s="8">
        <f>CHOOSE( CONTROL!$C$33, 8.9207, 8.9196) * CHOOSE( CONTROL!$C$16, $D$11, 100%, $F$11)</f>
        <v>8.9207000000000001</v>
      </c>
      <c r="H284" s="4">
        <f>CHOOSE( CONTROL!$C$33, 9.8575, 9.8565) * CHOOSE(CONTROL!$C$16, $D$11, 100%, $F$11)</f>
        <v>9.8574999999999999</v>
      </c>
      <c r="I284" s="8">
        <f>CHOOSE( CONTROL!$C$33, 8.8498, 8.8487) * CHOOSE(CONTROL!$C$16, $D$11, 100%, $F$11)</f>
        <v>8.8498000000000001</v>
      </c>
      <c r="J284" s="4">
        <f>CHOOSE( CONTROL!$C$33, 8.721, 8.7199) * CHOOSE(CONTROL!$C$16, $D$11, 100%, $F$11)</f>
        <v>8.7210000000000001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1.2509999999999999</v>
      </c>
      <c r="Q284" s="9">
        <v>29.593800000000002</v>
      </c>
      <c r="R284" s="9"/>
      <c r="S284" s="11"/>
    </row>
    <row r="285" spans="1:19" ht="15.75">
      <c r="A285" s="14">
        <v>49796</v>
      </c>
      <c r="B285" s="8">
        <f>CHOOSE( CONTROL!$C$33, 9.2372, 9.2355) * CHOOSE(CONTROL!$C$16, $D$11, 100%, $F$11)</f>
        <v>9.2371999999999996</v>
      </c>
      <c r="C285" s="8">
        <f>CHOOSE( CONTROL!$C$33, 9.2452, 9.2435) * CHOOSE(CONTROL!$C$16, $D$11, 100%, $F$11)</f>
        <v>9.2452000000000005</v>
      </c>
      <c r="D285" s="8">
        <f>CHOOSE( CONTROL!$C$33, 9.2635, 9.2618) * CHOOSE( CONTROL!$C$16, $D$11, 100%, $F$11)</f>
        <v>9.2635000000000005</v>
      </c>
      <c r="E285" s="12">
        <f>CHOOSE( CONTROL!$C$33, 9.2556, 9.2539) * CHOOSE( CONTROL!$C$16, $D$11, 100%, $F$11)</f>
        <v>9.2555999999999994</v>
      </c>
      <c r="F285" s="4">
        <f>CHOOSE( CONTROL!$C$33, 9.9648, 9.9631) * CHOOSE(CONTROL!$C$16, $D$11, 100%, $F$11)</f>
        <v>9.9648000000000003</v>
      </c>
      <c r="G285" s="8">
        <f>CHOOSE( CONTROL!$C$33, 9.1577, 9.1561) * CHOOSE( CONTROL!$C$16, $D$11, 100%, $F$11)</f>
        <v>9.1577000000000002</v>
      </c>
      <c r="H285" s="4">
        <f>CHOOSE( CONTROL!$C$33, 10.0947, 10.0931) * CHOOSE(CONTROL!$C$16, $D$11, 100%, $F$11)</f>
        <v>10.0947</v>
      </c>
      <c r="I285" s="8">
        <f>CHOOSE( CONTROL!$C$33, 9.0822, 9.0806) * CHOOSE(CONTROL!$C$16, $D$11, 100%, $F$11)</f>
        <v>9.0822000000000003</v>
      </c>
      <c r="J285" s="4">
        <f>CHOOSE( CONTROL!$C$33, 8.9539, 8.9523) * CHOOSE(CONTROL!$C$16, $D$11, 100%, $F$11)</f>
        <v>8.9539000000000009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1.2927</v>
      </c>
      <c r="Q285" s="9">
        <v>30.580300000000001</v>
      </c>
      <c r="R285" s="9"/>
      <c r="S285" s="11"/>
    </row>
    <row r="286" spans="1:19" ht="15.75">
      <c r="A286" s="14">
        <v>49827</v>
      </c>
      <c r="B286" s="8">
        <f>CHOOSE( CONTROL!$C$33, 9.0889, 9.0872) * CHOOSE(CONTROL!$C$16, $D$11, 100%, $F$11)</f>
        <v>9.0889000000000006</v>
      </c>
      <c r="C286" s="8">
        <f>CHOOSE( CONTROL!$C$33, 9.0969, 9.0952) * CHOOSE(CONTROL!$C$16, $D$11, 100%, $F$11)</f>
        <v>9.0968999999999998</v>
      </c>
      <c r="D286" s="8">
        <f>CHOOSE( CONTROL!$C$33, 9.1154, 9.1138) * CHOOSE( CONTROL!$C$16, $D$11, 100%, $F$11)</f>
        <v>9.1153999999999993</v>
      </c>
      <c r="E286" s="12">
        <f>CHOOSE( CONTROL!$C$33, 9.1075, 9.1058) * CHOOSE( CONTROL!$C$16, $D$11, 100%, $F$11)</f>
        <v>9.1074999999999999</v>
      </c>
      <c r="F286" s="4">
        <f>CHOOSE( CONTROL!$C$33, 9.8164, 9.8148) * CHOOSE(CONTROL!$C$16, $D$11, 100%, $F$11)</f>
        <v>9.8163999999999998</v>
      </c>
      <c r="G286" s="8">
        <f>CHOOSE( CONTROL!$C$33, 9.0114, 9.0097) * CHOOSE( CONTROL!$C$16, $D$11, 100%, $F$11)</f>
        <v>9.0114000000000001</v>
      </c>
      <c r="H286" s="4">
        <f>CHOOSE( CONTROL!$C$33, 9.9481, 9.9465) * CHOOSE(CONTROL!$C$16, $D$11, 100%, $F$11)</f>
        <v>9.9481000000000002</v>
      </c>
      <c r="I286" s="8">
        <f>CHOOSE( CONTROL!$C$33, 8.939, 8.9374) * CHOOSE(CONTROL!$C$16, $D$11, 100%, $F$11)</f>
        <v>8.9390000000000001</v>
      </c>
      <c r="J286" s="4">
        <f>CHOOSE( CONTROL!$C$33, 8.81, 8.8083) * CHOOSE(CONTROL!$C$16, $D$11, 100%, $F$11)</f>
        <v>8.81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1.2509999999999999</v>
      </c>
      <c r="Q286" s="9">
        <v>29.593800000000002</v>
      </c>
      <c r="R286" s="9"/>
      <c r="S286" s="11"/>
    </row>
    <row r="287" spans="1:19" ht="15.75">
      <c r="A287" s="14">
        <v>49857</v>
      </c>
      <c r="B287" s="8">
        <f>CHOOSE( CONTROL!$C$33, 9.4794, 9.4778) * CHOOSE(CONTROL!$C$16, $D$11, 100%, $F$11)</f>
        <v>9.4794</v>
      </c>
      <c r="C287" s="8">
        <f>CHOOSE( CONTROL!$C$33, 9.4874, 9.4858) * CHOOSE(CONTROL!$C$16, $D$11, 100%, $F$11)</f>
        <v>9.4873999999999992</v>
      </c>
      <c r="D287" s="8">
        <f>CHOOSE( CONTROL!$C$33, 9.5062, 9.5046) * CHOOSE( CONTROL!$C$16, $D$11, 100%, $F$11)</f>
        <v>9.5061999999999998</v>
      </c>
      <c r="E287" s="12">
        <f>CHOOSE( CONTROL!$C$33, 9.4982, 9.4966) * CHOOSE( CONTROL!$C$16, $D$11, 100%, $F$11)</f>
        <v>9.4982000000000006</v>
      </c>
      <c r="F287" s="4">
        <f>CHOOSE( CONTROL!$C$33, 10.207, 10.2053) * CHOOSE(CONTROL!$C$16, $D$11, 100%, $F$11)</f>
        <v>10.207000000000001</v>
      </c>
      <c r="G287" s="8">
        <f>CHOOSE( CONTROL!$C$33, 9.3975, 9.3959) * CHOOSE( CONTROL!$C$16, $D$11, 100%, $F$11)</f>
        <v>9.3975000000000009</v>
      </c>
      <c r="H287" s="4">
        <f>CHOOSE( CONTROL!$C$33, 10.3341, 10.3325) * CHOOSE(CONTROL!$C$16, $D$11, 100%, $F$11)</f>
        <v>10.334099999999999</v>
      </c>
      <c r="I287" s="8">
        <f>CHOOSE( CONTROL!$C$33, 9.3191, 9.3175) * CHOOSE(CONTROL!$C$16, $D$11, 100%, $F$11)</f>
        <v>9.3191000000000006</v>
      </c>
      <c r="J287" s="4">
        <f>CHOOSE( CONTROL!$C$33, 9.189, 9.1874) * CHOOSE(CONTROL!$C$16, $D$11, 100%, $F$11)</f>
        <v>9.1890000000000001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1.2927</v>
      </c>
      <c r="Q287" s="9">
        <v>30.580300000000001</v>
      </c>
      <c r="R287" s="9"/>
      <c r="S287" s="11"/>
    </row>
    <row r="288" spans="1:19" ht="15.75">
      <c r="A288" s="14">
        <v>49888</v>
      </c>
      <c r="B288" s="8">
        <f>CHOOSE( CONTROL!$C$33, 8.7487, 8.747) * CHOOSE(CONTROL!$C$16, $D$11, 100%, $F$11)</f>
        <v>8.7486999999999995</v>
      </c>
      <c r="C288" s="8">
        <f>CHOOSE( CONTROL!$C$33, 8.7567, 8.755) * CHOOSE(CONTROL!$C$16, $D$11, 100%, $F$11)</f>
        <v>8.7567000000000004</v>
      </c>
      <c r="D288" s="8">
        <f>CHOOSE( CONTROL!$C$33, 8.7755, 8.7739) * CHOOSE( CONTROL!$C$16, $D$11, 100%, $F$11)</f>
        <v>8.7754999999999992</v>
      </c>
      <c r="E288" s="12">
        <f>CHOOSE( CONTROL!$C$33, 8.7675, 8.7658) * CHOOSE( CONTROL!$C$16, $D$11, 100%, $F$11)</f>
        <v>8.7675000000000001</v>
      </c>
      <c r="F288" s="4">
        <f>CHOOSE( CONTROL!$C$33, 9.4762, 9.4746) * CHOOSE(CONTROL!$C$16, $D$11, 100%, $F$11)</f>
        <v>9.4762000000000004</v>
      </c>
      <c r="G288" s="8">
        <f>CHOOSE( CONTROL!$C$33, 8.6754, 8.6738) * CHOOSE( CONTROL!$C$16, $D$11, 100%, $F$11)</f>
        <v>8.6753999999999998</v>
      </c>
      <c r="H288" s="4">
        <f>CHOOSE( CONTROL!$C$33, 9.6119, 9.6103) * CHOOSE(CONTROL!$C$16, $D$11, 100%, $F$11)</f>
        <v>9.6119000000000003</v>
      </c>
      <c r="I288" s="8">
        <f>CHOOSE( CONTROL!$C$33, 8.6098, 8.6082) * CHOOSE(CONTROL!$C$16, $D$11, 100%, $F$11)</f>
        <v>8.6097999999999999</v>
      </c>
      <c r="J288" s="4">
        <f>CHOOSE( CONTROL!$C$33, 8.4798, 8.4782) * CHOOSE(CONTROL!$C$16, $D$11, 100%, $F$11)</f>
        <v>8.4797999999999991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1.2927</v>
      </c>
      <c r="Q288" s="9">
        <v>30.580300000000001</v>
      </c>
      <c r="R288" s="9"/>
      <c r="S288" s="11"/>
    </row>
    <row r="289" spans="1:19" ht="15.75">
      <c r="A289" s="14">
        <v>49919</v>
      </c>
      <c r="B289" s="8">
        <f>CHOOSE( CONTROL!$C$33, 8.5657, 8.564) * CHOOSE(CONTROL!$C$16, $D$11, 100%, $F$11)</f>
        <v>8.5656999999999996</v>
      </c>
      <c r="C289" s="8">
        <f>CHOOSE( CONTROL!$C$33, 8.5737, 8.572) * CHOOSE(CONTROL!$C$16, $D$11, 100%, $F$11)</f>
        <v>8.5737000000000005</v>
      </c>
      <c r="D289" s="8">
        <f>CHOOSE( CONTROL!$C$33, 8.5924, 8.5908) * CHOOSE( CONTROL!$C$16, $D$11, 100%, $F$11)</f>
        <v>8.5923999999999996</v>
      </c>
      <c r="E289" s="12">
        <f>CHOOSE( CONTROL!$C$33, 8.5844, 8.5828) * CHOOSE( CONTROL!$C$16, $D$11, 100%, $F$11)</f>
        <v>8.5844000000000005</v>
      </c>
      <c r="F289" s="4">
        <f>CHOOSE( CONTROL!$C$33, 9.2932, 9.2916) * CHOOSE(CONTROL!$C$16, $D$11, 100%, $F$11)</f>
        <v>9.2932000000000006</v>
      </c>
      <c r="G289" s="8">
        <f>CHOOSE( CONTROL!$C$33, 8.4945, 8.4928) * CHOOSE( CONTROL!$C$16, $D$11, 100%, $F$11)</f>
        <v>8.4945000000000004</v>
      </c>
      <c r="H289" s="4">
        <f>CHOOSE( CONTROL!$C$33, 9.4311, 9.4294) * CHOOSE(CONTROL!$C$16, $D$11, 100%, $F$11)</f>
        <v>9.4311000000000007</v>
      </c>
      <c r="I289" s="8">
        <f>CHOOSE( CONTROL!$C$33, 8.4318, 8.4302) * CHOOSE(CONTROL!$C$16, $D$11, 100%, $F$11)</f>
        <v>8.4318000000000008</v>
      </c>
      <c r="J289" s="4">
        <f>CHOOSE( CONTROL!$C$33, 8.3022, 8.3006) * CHOOSE(CONTROL!$C$16, $D$11, 100%, $F$11)</f>
        <v>8.3021999999999991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1.2509999999999999</v>
      </c>
      <c r="Q289" s="9">
        <v>29.593800000000002</v>
      </c>
      <c r="R289" s="9"/>
      <c r="S289" s="11"/>
    </row>
    <row r="290" spans="1:19" ht="15.75">
      <c r="A290" s="14">
        <v>49949</v>
      </c>
      <c r="B290" s="8">
        <f>CHOOSE( CONTROL!$C$33, 8.9434, 8.9423) * CHOOSE(CONTROL!$C$16, $D$11, 100%, $F$11)</f>
        <v>8.9434000000000005</v>
      </c>
      <c r="C290" s="8">
        <f>CHOOSE( CONTROL!$C$33, 8.9487, 8.9476) * CHOOSE(CONTROL!$C$16, $D$11, 100%, $F$11)</f>
        <v>8.9487000000000005</v>
      </c>
      <c r="D290" s="8">
        <f>CHOOSE( CONTROL!$C$33, 8.9731, 8.972) * CHOOSE( CONTROL!$C$16, $D$11, 100%, $F$11)</f>
        <v>8.9731000000000005</v>
      </c>
      <c r="E290" s="12">
        <f>CHOOSE( CONTROL!$C$33, 8.9645, 8.9634) * CHOOSE( CONTROL!$C$16, $D$11, 100%, $F$11)</f>
        <v>8.9644999999999992</v>
      </c>
      <c r="F290" s="4">
        <f>CHOOSE( CONTROL!$C$33, 9.6726, 9.6715) * CHOOSE(CONTROL!$C$16, $D$11, 100%, $F$11)</f>
        <v>9.6725999999999992</v>
      </c>
      <c r="G290" s="8">
        <f>CHOOSE( CONTROL!$C$33, 8.8696, 8.8685) * CHOOSE( CONTROL!$C$16, $D$11, 100%, $F$11)</f>
        <v>8.8696000000000002</v>
      </c>
      <c r="H290" s="4">
        <f>CHOOSE( CONTROL!$C$33, 9.806, 9.8049) * CHOOSE(CONTROL!$C$16, $D$11, 100%, $F$11)</f>
        <v>9.8059999999999992</v>
      </c>
      <c r="I290" s="8">
        <f>CHOOSE( CONTROL!$C$33, 8.801, 8.8) * CHOOSE(CONTROL!$C$16, $D$11, 100%, $F$11)</f>
        <v>8.8010000000000002</v>
      </c>
      <c r="J290" s="4">
        <f>CHOOSE( CONTROL!$C$33, 8.6704, 8.6693) * CHOOSE(CONTROL!$C$16, $D$11, 100%, $F$11)</f>
        <v>8.6704000000000008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1.2927</v>
      </c>
      <c r="Q290" s="9">
        <v>30.580300000000001</v>
      </c>
      <c r="R290" s="9"/>
      <c r="S290" s="11"/>
    </row>
    <row r="291" spans="1:19" ht="15.75">
      <c r="A291" s="14">
        <v>49980</v>
      </c>
      <c r="B291" s="8">
        <f>CHOOSE( CONTROL!$C$33, 9.6443, 9.6432) * CHOOSE(CONTROL!$C$16, $D$11, 100%, $F$11)</f>
        <v>9.6442999999999994</v>
      </c>
      <c r="C291" s="8">
        <f>CHOOSE( CONTROL!$C$33, 9.6493, 9.6482) * CHOOSE(CONTROL!$C$16, $D$11, 100%, $F$11)</f>
        <v>9.6493000000000002</v>
      </c>
      <c r="D291" s="8">
        <f>CHOOSE( CONTROL!$C$33, 9.6397, 9.6386) * CHOOSE( CONTROL!$C$16, $D$11, 100%, $F$11)</f>
        <v>9.6396999999999995</v>
      </c>
      <c r="E291" s="12">
        <f>CHOOSE( CONTROL!$C$33, 9.6427, 9.6416) * CHOOSE( CONTROL!$C$16, $D$11, 100%, $F$11)</f>
        <v>9.6426999999999996</v>
      </c>
      <c r="F291" s="4">
        <f>CHOOSE( CONTROL!$C$33, 10.3044, 10.3033) * CHOOSE(CONTROL!$C$16, $D$11, 100%, $F$11)</f>
        <v>10.304399999999999</v>
      </c>
      <c r="G291" s="8">
        <f>CHOOSE( CONTROL!$C$33, 9.5492, 9.5482) * CHOOSE( CONTROL!$C$16, $D$11, 100%, $F$11)</f>
        <v>9.5492000000000008</v>
      </c>
      <c r="H291" s="4">
        <f>CHOOSE( CONTROL!$C$33, 10.4304, 10.4293) * CHOOSE(CONTROL!$C$16, $D$11, 100%, $F$11)</f>
        <v>10.430400000000001</v>
      </c>
      <c r="I291" s="8">
        <f>CHOOSE( CONTROL!$C$33, 9.5414, 9.5403) * CHOOSE(CONTROL!$C$16, $D$11, 100%, $F$11)</f>
        <v>9.5413999999999994</v>
      </c>
      <c r="J291" s="4">
        <f>CHOOSE( CONTROL!$C$33, 9.351, 9.3499) * CHOOSE(CONTROL!$C$16, $D$11, 100%, $F$11)</f>
        <v>9.3510000000000009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29.593800000000002</v>
      </c>
      <c r="R291" s="9"/>
      <c r="S291" s="11"/>
    </row>
    <row r="292" spans="1:19" ht="15.75">
      <c r="A292" s="14">
        <v>50010</v>
      </c>
      <c r="B292" s="8">
        <f>CHOOSE( CONTROL!$C$33, 9.6267, 9.6256) * CHOOSE(CONTROL!$C$16, $D$11, 100%, $F$11)</f>
        <v>9.6266999999999996</v>
      </c>
      <c r="C292" s="8">
        <f>CHOOSE( CONTROL!$C$33, 9.6318, 9.6307) * CHOOSE(CONTROL!$C$16, $D$11, 100%, $F$11)</f>
        <v>9.6318000000000001</v>
      </c>
      <c r="D292" s="8">
        <f>CHOOSE( CONTROL!$C$33, 9.6236, 9.6225) * CHOOSE( CONTROL!$C$16, $D$11, 100%, $F$11)</f>
        <v>9.6235999999999997</v>
      </c>
      <c r="E292" s="12">
        <f>CHOOSE( CONTROL!$C$33, 9.6261, 9.625) * CHOOSE( CONTROL!$C$16, $D$11, 100%, $F$11)</f>
        <v>9.6260999999999992</v>
      </c>
      <c r="F292" s="4">
        <f>CHOOSE( CONTROL!$C$33, 10.2869, 10.2858) * CHOOSE(CONTROL!$C$16, $D$11, 100%, $F$11)</f>
        <v>10.286899999999999</v>
      </c>
      <c r="G292" s="8">
        <f>CHOOSE( CONTROL!$C$33, 9.5329, 9.5319) * CHOOSE( CONTROL!$C$16, $D$11, 100%, $F$11)</f>
        <v>9.5328999999999997</v>
      </c>
      <c r="H292" s="4">
        <f>CHOOSE( CONTROL!$C$33, 10.413, 10.412) * CHOOSE(CONTROL!$C$16, $D$11, 100%, $F$11)</f>
        <v>10.413</v>
      </c>
      <c r="I292" s="8">
        <f>CHOOSE( CONTROL!$C$33, 9.5288, 9.5277) * CHOOSE(CONTROL!$C$16, $D$11, 100%, $F$11)</f>
        <v>9.5288000000000004</v>
      </c>
      <c r="J292" s="4">
        <f>CHOOSE( CONTROL!$C$33, 9.334, 9.3329) * CHOOSE(CONTROL!$C$16, $D$11, 100%, $F$11)</f>
        <v>9.3339999999999996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30.580300000000001</v>
      </c>
      <c r="R292" s="9"/>
      <c r="S292" s="11"/>
    </row>
    <row r="293" spans="1:19" ht="15.75">
      <c r="A293" s="14">
        <v>50041</v>
      </c>
      <c r="B293" s="8">
        <f>CHOOSE( CONTROL!$C$33, 9.9104, 9.9093) * CHOOSE(CONTROL!$C$16, $D$11, 100%, $F$11)</f>
        <v>9.9103999999999992</v>
      </c>
      <c r="C293" s="8">
        <f>CHOOSE( CONTROL!$C$33, 9.9155, 9.9144) * CHOOSE(CONTROL!$C$16, $D$11, 100%, $F$11)</f>
        <v>9.9154999999999998</v>
      </c>
      <c r="D293" s="8">
        <f>CHOOSE( CONTROL!$C$33, 9.9181, 9.917) * CHOOSE( CONTROL!$C$16, $D$11, 100%, $F$11)</f>
        <v>9.9181000000000008</v>
      </c>
      <c r="E293" s="12">
        <f>CHOOSE( CONTROL!$C$33, 9.9166, 9.9155) * CHOOSE( CONTROL!$C$16, $D$11, 100%, $F$11)</f>
        <v>9.9166000000000007</v>
      </c>
      <c r="F293" s="4">
        <f>CHOOSE( CONTROL!$C$33, 10.5705, 10.5694) * CHOOSE(CONTROL!$C$16, $D$11, 100%, $F$11)</f>
        <v>10.570499999999999</v>
      </c>
      <c r="G293" s="8">
        <f>CHOOSE( CONTROL!$C$33, 9.8161, 9.815) * CHOOSE( CONTROL!$C$16, $D$11, 100%, $F$11)</f>
        <v>9.8161000000000005</v>
      </c>
      <c r="H293" s="4">
        <f>CHOOSE( CONTROL!$C$33, 10.6934, 10.6923) * CHOOSE(CONTROL!$C$16, $D$11, 100%, $F$11)</f>
        <v>10.6934</v>
      </c>
      <c r="I293" s="8">
        <f>CHOOSE( CONTROL!$C$33, 9.7757, 9.7746) * CHOOSE(CONTROL!$C$16, $D$11, 100%, $F$11)</f>
        <v>9.7757000000000005</v>
      </c>
      <c r="J293" s="4">
        <f>CHOOSE( CONTROL!$C$33, 9.6093, 9.6082) * CHOOSE(CONTROL!$C$16, $D$11, 100%, $F$11)</f>
        <v>9.6092999999999993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30.5152</v>
      </c>
      <c r="R293" s="9"/>
      <c r="S293" s="11"/>
    </row>
    <row r="294" spans="1:19" ht="15.75">
      <c r="A294" s="14">
        <v>50072</v>
      </c>
      <c r="B294" s="8">
        <f>CHOOSE( CONTROL!$C$33, 9.2704, 9.2693) * CHOOSE(CONTROL!$C$16, $D$11, 100%, $F$11)</f>
        <v>9.2704000000000004</v>
      </c>
      <c r="C294" s="8">
        <f>CHOOSE( CONTROL!$C$33, 9.2754, 9.2743) * CHOOSE(CONTROL!$C$16, $D$11, 100%, $F$11)</f>
        <v>9.2753999999999994</v>
      </c>
      <c r="D294" s="8">
        <f>CHOOSE( CONTROL!$C$33, 9.278, 9.2769) * CHOOSE( CONTROL!$C$16, $D$11, 100%, $F$11)</f>
        <v>9.2780000000000005</v>
      </c>
      <c r="E294" s="12">
        <f>CHOOSE( CONTROL!$C$33, 9.2765, 9.2754) * CHOOSE( CONTROL!$C$16, $D$11, 100%, $F$11)</f>
        <v>9.2765000000000004</v>
      </c>
      <c r="F294" s="4">
        <f>CHOOSE( CONTROL!$C$33, 9.9305, 9.9294) * CHOOSE(CONTROL!$C$16, $D$11, 100%, $F$11)</f>
        <v>9.9305000000000003</v>
      </c>
      <c r="G294" s="8">
        <f>CHOOSE( CONTROL!$C$33, 9.1835, 9.1824) * CHOOSE( CONTROL!$C$16, $D$11, 100%, $F$11)</f>
        <v>9.1835000000000004</v>
      </c>
      <c r="H294" s="4">
        <f>CHOOSE( CONTROL!$C$33, 10.0608, 10.0598) * CHOOSE(CONTROL!$C$16, $D$11, 100%, $F$11)</f>
        <v>10.0608</v>
      </c>
      <c r="I294" s="8">
        <f>CHOOSE( CONTROL!$C$33, 9.154, 9.1529) * CHOOSE(CONTROL!$C$16, $D$11, 100%, $F$11)</f>
        <v>9.1539999999999999</v>
      </c>
      <c r="J294" s="4">
        <f>CHOOSE( CONTROL!$C$33, 8.9881, 8.9871) * CHOOSE(CONTROL!$C$16, $D$11, 100%, $F$11)</f>
        <v>8.9880999999999993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27.562100000000001</v>
      </c>
      <c r="R294" s="9"/>
      <c r="S294" s="11"/>
    </row>
    <row r="295" spans="1:19" ht="15.75">
      <c r="A295" s="14">
        <v>50100</v>
      </c>
      <c r="B295" s="8">
        <f>CHOOSE( CONTROL!$C$33, 9.0732, 9.0721) * CHOOSE(CONTROL!$C$16, $D$11, 100%, $F$11)</f>
        <v>9.0731999999999999</v>
      </c>
      <c r="C295" s="8">
        <f>CHOOSE( CONTROL!$C$33, 9.0783, 9.0772) * CHOOSE(CONTROL!$C$16, $D$11, 100%, $F$11)</f>
        <v>9.0783000000000005</v>
      </c>
      <c r="D295" s="8">
        <f>CHOOSE( CONTROL!$C$33, 9.0802, 9.0791) * CHOOSE( CONTROL!$C$16, $D$11, 100%, $F$11)</f>
        <v>9.0801999999999996</v>
      </c>
      <c r="E295" s="12">
        <f>CHOOSE( CONTROL!$C$33, 9.079, 9.0779) * CHOOSE( CONTROL!$C$16, $D$11, 100%, $F$11)</f>
        <v>9.0790000000000006</v>
      </c>
      <c r="F295" s="4">
        <f>CHOOSE( CONTROL!$C$33, 9.7334, 9.7323) * CHOOSE(CONTROL!$C$16, $D$11, 100%, $F$11)</f>
        <v>9.7333999999999996</v>
      </c>
      <c r="G295" s="8">
        <f>CHOOSE( CONTROL!$C$33, 8.9882, 8.9871) * CHOOSE( CONTROL!$C$16, $D$11, 100%, $F$11)</f>
        <v>8.9882000000000009</v>
      </c>
      <c r="H295" s="4">
        <f>CHOOSE( CONTROL!$C$33, 9.866, 9.8649) * CHOOSE(CONTROL!$C$16, $D$11, 100%, $F$11)</f>
        <v>9.8659999999999997</v>
      </c>
      <c r="I295" s="8">
        <f>CHOOSE( CONTROL!$C$33, 8.9604, 8.9594) * CHOOSE(CONTROL!$C$16, $D$11, 100%, $F$11)</f>
        <v>8.9603999999999999</v>
      </c>
      <c r="J295" s="4">
        <f>CHOOSE( CONTROL!$C$33, 8.7968, 8.7958) * CHOOSE(CONTROL!$C$16, $D$11, 100%, $F$11)</f>
        <v>8.7967999999999993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30.5152</v>
      </c>
      <c r="R295" s="9"/>
      <c r="S295" s="11"/>
    </row>
    <row r="296" spans="1:19" ht="15.75">
      <c r="A296" s="14">
        <v>50131</v>
      </c>
      <c r="B296" s="8">
        <f>CHOOSE( CONTROL!$C$33, 9.2117, 9.2107) * CHOOSE(CONTROL!$C$16, $D$11, 100%, $F$11)</f>
        <v>9.2117000000000004</v>
      </c>
      <c r="C296" s="8">
        <f>CHOOSE( CONTROL!$C$33, 9.2162, 9.2152) * CHOOSE(CONTROL!$C$16, $D$11, 100%, $F$11)</f>
        <v>9.2162000000000006</v>
      </c>
      <c r="D296" s="8">
        <f>CHOOSE( CONTROL!$C$33, 9.2406, 9.2395) * CHOOSE( CONTROL!$C$16, $D$11, 100%, $F$11)</f>
        <v>9.2406000000000006</v>
      </c>
      <c r="E296" s="12">
        <f>CHOOSE( CONTROL!$C$33, 9.232, 9.231) * CHOOSE( CONTROL!$C$16, $D$11, 100%, $F$11)</f>
        <v>9.2319999999999993</v>
      </c>
      <c r="F296" s="4">
        <f>CHOOSE( CONTROL!$C$33, 9.9407, 9.9396) * CHOOSE(CONTROL!$C$16, $D$11, 100%, $F$11)</f>
        <v>9.9406999999999996</v>
      </c>
      <c r="G296" s="8">
        <f>CHOOSE( CONTROL!$C$33, 9.134, 9.133) * CHOOSE( CONTROL!$C$16, $D$11, 100%, $F$11)</f>
        <v>9.1340000000000003</v>
      </c>
      <c r="H296" s="4">
        <f>CHOOSE( CONTROL!$C$33, 10.0709, 10.0698) * CHOOSE(CONTROL!$C$16, $D$11, 100%, $F$11)</f>
        <v>10.0709</v>
      </c>
      <c r="I296" s="8">
        <f>CHOOSE( CONTROL!$C$33, 9.0594, 9.0584) * CHOOSE(CONTROL!$C$16, $D$11, 100%, $F$11)</f>
        <v>9.0594000000000001</v>
      </c>
      <c r="J296" s="4">
        <f>CHOOSE( CONTROL!$C$33, 8.9305, 8.9294) * CHOOSE(CONTROL!$C$16, $D$11, 100%, $F$11)</f>
        <v>8.9305000000000003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1.2509999999999999</v>
      </c>
      <c r="Q296" s="9">
        <v>29.530799999999999</v>
      </c>
      <c r="R296" s="9"/>
      <c r="S296" s="11"/>
    </row>
    <row r="297" spans="1:19" ht="15.75">
      <c r="A297" s="14">
        <v>50161</v>
      </c>
      <c r="B297" s="8">
        <f>CHOOSE( CONTROL!$C$33, 9.4588, 9.4572) * CHOOSE(CONTROL!$C$16, $D$11, 100%, $F$11)</f>
        <v>9.4588000000000001</v>
      </c>
      <c r="C297" s="8">
        <f>CHOOSE( CONTROL!$C$33, 9.4668, 9.4652) * CHOOSE(CONTROL!$C$16, $D$11, 100%, $F$11)</f>
        <v>9.4667999999999992</v>
      </c>
      <c r="D297" s="8">
        <f>CHOOSE( CONTROL!$C$33, 9.4851, 9.4835) * CHOOSE( CONTROL!$C$16, $D$11, 100%, $F$11)</f>
        <v>9.4850999999999992</v>
      </c>
      <c r="E297" s="12">
        <f>CHOOSE( CONTROL!$C$33, 9.4772, 9.4756) * CHOOSE( CONTROL!$C$16, $D$11, 100%, $F$11)</f>
        <v>9.4771999999999998</v>
      </c>
      <c r="F297" s="4">
        <f>CHOOSE( CONTROL!$C$33, 10.1864, 10.1847) * CHOOSE(CONTROL!$C$16, $D$11, 100%, $F$11)</f>
        <v>10.186400000000001</v>
      </c>
      <c r="G297" s="8">
        <f>CHOOSE( CONTROL!$C$33, 9.3768, 9.3751) * CHOOSE( CONTROL!$C$16, $D$11, 100%, $F$11)</f>
        <v>9.3767999999999994</v>
      </c>
      <c r="H297" s="4">
        <f>CHOOSE( CONTROL!$C$33, 10.3137, 10.3121) * CHOOSE(CONTROL!$C$16, $D$11, 100%, $F$11)</f>
        <v>10.313700000000001</v>
      </c>
      <c r="I297" s="8">
        <f>CHOOSE( CONTROL!$C$33, 9.2974, 9.2958) * CHOOSE(CONTROL!$C$16, $D$11, 100%, $F$11)</f>
        <v>9.2973999999999997</v>
      </c>
      <c r="J297" s="4">
        <f>CHOOSE( CONTROL!$C$33, 9.169, 9.1674) * CHOOSE(CONTROL!$C$16, $D$11, 100%, $F$11)</f>
        <v>9.1690000000000005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1.2927</v>
      </c>
      <c r="Q297" s="9">
        <v>30.5152</v>
      </c>
      <c r="R297" s="9"/>
      <c r="S297" s="11"/>
    </row>
    <row r="298" spans="1:19" ht="15.75">
      <c r="A298" s="14">
        <v>50192</v>
      </c>
      <c r="B298" s="8">
        <f>CHOOSE( CONTROL!$C$33, 9.307, 9.3053) * CHOOSE(CONTROL!$C$16, $D$11, 100%, $F$11)</f>
        <v>9.3070000000000004</v>
      </c>
      <c r="C298" s="8">
        <f>CHOOSE( CONTROL!$C$33, 9.3149, 9.3133) * CHOOSE(CONTROL!$C$16, $D$11, 100%, $F$11)</f>
        <v>9.3148999999999997</v>
      </c>
      <c r="D298" s="8">
        <f>CHOOSE( CONTROL!$C$33, 9.3335, 9.3318) * CHOOSE( CONTROL!$C$16, $D$11, 100%, $F$11)</f>
        <v>9.3335000000000008</v>
      </c>
      <c r="E298" s="12">
        <f>CHOOSE( CONTROL!$C$33, 9.3256, 9.3239) * CHOOSE( CONTROL!$C$16, $D$11, 100%, $F$11)</f>
        <v>9.3255999999999997</v>
      </c>
      <c r="F298" s="4">
        <f>CHOOSE( CONTROL!$C$33, 10.0345, 10.0329) * CHOOSE(CONTROL!$C$16, $D$11, 100%, $F$11)</f>
        <v>10.0345</v>
      </c>
      <c r="G298" s="8">
        <f>CHOOSE( CONTROL!$C$33, 9.2269, 9.2252) * CHOOSE( CONTROL!$C$16, $D$11, 100%, $F$11)</f>
        <v>9.2269000000000005</v>
      </c>
      <c r="H298" s="4">
        <f>CHOOSE( CONTROL!$C$33, 10.1637, 10.162) * CHOOSE(CONTROL!$C$16, $D$11, 100%, $F$11)</f>
        <v>10.1637</v>
      </c>
      <c r="I298" s="8">
        <f>CHOOSE( CONTROL!$C$33, 9.1508, 9.1492) * CHOOSE(CONTROL!$C$16, $D$11, 100%, $F$11)</f>
        <v>9.1508000000000003</v>
      </c>
      <c r="J298" s="4">
        <f>CHOOSE( CONTROL!$C$33, 9.0216, 9.02) * CHOOSE(CONTROL!$C$16, $D$11, 100%, $F$11)</f>
        <v>9.0215999999999994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1.2509999999999999</v>
      </c>
      <c r="Q298" s="9">
        <v>29.530799999999999</v>
      </c>
      <c r="R298" s="9"/>
      <c r="S298" s="11"/>
    </row>
    <row r="299" spans="1:19" ht="15.75">
      <c r="A299" s="14">
        <v>50222</v>
      </c>
      <c r="B299" s="8">
        <f>CHOOSE( CONTROL!$C$33, 9.7069, 9.7052) * CHOOSE(CONTROL!$C$16, $D$11, 100%, $F$11)</f>
        <v>9.7068999999999992</v>
      </c>
      <c r="C299" s="8">
        <f>CHOOSE( CONTROL!$C$33, 9.7149, 9.7132) * CHOOSE(CONTROL!$C$16, $D$11, 100%, $F$11)</f>
        <v>9.7149000000000001</v>
      </c>
      <c r="D299" s="8">
        <f>CHOOSE( CONTROL!$C$33, 9.7337, 9.732) * CHOOSE( CONTROL!$C$16, $D$11, 100%, $F$11)</f>
        <v>9.7337000000000007</v>
      </c>
      <c r="E299" s="12">
        <f>CHOOSE( CONTROL!$C$33, 9.7257, 9.724) * CHOOSE( CONTROL!$C$16, $D$11, 100%, $F$11)</f>
        <v>9.7256999999999998</v>
      </c>
      <c r="F299" s="4">
        <f>CHOOSE( CONTROL!$C$33, 10.4345, 10.4328) * CHOOSE(CONTROL!$C$16, $D$11, 100%, $F$11)</f>
        <v>10.4345</v>
      </c>
      <c r="G299" s="8">
        <f>CHOOSE( CONTROL!$C$33, 9.6223, 9.6207) * CHOOSE( CONTROL!$C$16, $D$11, 100%, $F$11)</f>
        <v>9.6222999999999992</v>
      </c>
      <c r="H299" s="4">
        <f>CHOOSE( CONTROL!$C$33, 10.5589, 10.5573) * CHOOSE(CONTROL!$C$16, $D$11, 100%, $F$11)</f>
        <v>10.5589</v>
      </c>
      <c r="I299" s="8">
        <f>CHOOSE( CONTROL!$C$33, 9.54, 9.5384) * CHOOSE(CONTROL!$C$16, $D$11, 100%, $F$11)</f>
        <v>9.5399999999999991</v>
      </c>
      <c r="J299" s="4">
        <f>CHOOSE( CONTROL!$C$33, 9.4097, 9.4081) * CHOOSE(CONTROL!$C$16, $D$11, 100%, $F$11)</f>
        <v>9.4097000000000008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1.2927</v>
      </c>
      <c r="Q299" s="9">
        <v>30.5152</v>
      </c>
      <c r="R299" s="9"/>
      <c r="S299" s="11"/>
    </row>
    <row r="300" spans="1:19" ht="15.75">
      <c r="A300" s="14">
        <v>50253</v>
      </c>
      <c r="B300" s="8">
        <f>CHOOSE( CONTROL!$C$33, 8.9586, 8.9569) * CHOOSE(CONTROL!$C$16, $D$11, 100%, $F$11)</f>
        <v>8.9586000000000006</v>
      </c>
      <c r="C300" s="8">
        <f>CHOOSE( CONTROL!$C$33, 8.9666, 8.9649) * CHOOSE(CONTROL!$C$16, $D$11, 100%, $F$11)</f>
        <v>8.9665999999999997</v>
      </c>
      <c r="D300" s="8">
        <f>CHOOSE( CONTROL!$C$33, 8.9854, 8.9838) * CHOOSE( CONTROL!$C$16, $D$11, 100%, $F$11)</f>
        <v>8.9854000000000003</v>
      </c>
      <c r="E300" s="12">
        <f>CHOOSE( CONTROL!$C$33, 8.9774, 8.9757) * CHOOSE( CONTROL!$C$16, $D$11, 100%, $F$11)</f>
        <v>8.9773999999999994</v>
      </c>
      <c r="F300" s="4">
        <f>CHOOSE( CONTROL!$C$33, 9.6861, 9.6845) * CHOOSE(CONTROL!$C$16, $D$11, 100%, $F$11)</f>
        <v>9.6860999999999997</v>
      </c>
      <c r="G300" s="8">
        <f>CHOOSE( CONTROL!$C$33, 8.8828, 8.8812) * CHOOSE( CONTROL!$C$16, $D$11, 100%, $F$11)</f>
        <v>8.8827999999999996</v>
      </c>
      <c r="H300" s="4">
        <f>CHOOSE( CONTROL!$C$33, 9.8194, 9.8177) * CHOOSE(CONTROL!$C$16, $D$11, 100%, $F$11)</f>
        <v>9.8193999999999999</v>
      </c>
      <c r="I300" s="8">
        <f>CHOOSE( CONTROL!$C$33, 8.8136, 8.812) * CHOOSE(CONTROL!$C$16, $D$11, 100%, $F$11)</f>
        <v>8.8135999999999992</v>
      </c>
      <c r="J300" s="4">
        <f>CHOOSE( CONTROL!$C$33, 8.6835, 8.6819) * CHOOSE(CONTROL!$C$16, $D$11, 100%, $F$11)</f>
        <v>8.6835000000000004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1.2927</v>
      </c>
      <c r="Q300" s="9">
        <v>30.5152</v>
      </c>
      <c r="R300" s="9"/>
      <c r="S300" s="11"/>
    </row>
    <row r="301" spans="1:19" ht="15.75">
      <c r="A301" s="14">
        <v>50284</v>
      </c>
      <c r="B301" s="8">
        <f>CHOOSE( CONTROL!$C$33, 8.7712, 8.7695) * CHOOSE(CONTROL!$C$16, $D$11, 100%, $F$11)</f>
        <v>8.7712000000000003</v>
      </c>
      <c r="C301" s="8">
        <f>CHOOSE( CONTROL!$C$33, 8.7792, 8.7775) * CHOOSE(CONTROL!$C$16, $D$11, 100%, $F$11)</f>
        <v>8.7791999999999994</v>
      </c>
      <c r="D301" s="8">
        <f>CHOOSE( CONTROL!$C$33, 8.7979, 8.7963) * CHOOSE( CONTROL!$C$16, $D$11, 100%, $F$11)</f>
        <v>8.7979000000000003</v>
      </c>
      <c r="E301" s="12">
        <f>CHOOSE( CONTROL!$C$33, 8.7899, 8.7883) * CHOOSE( CONTROL!$C$16, $D$11, 100%, $F$11)</f>
        <v>8.7898999999999994</v>
      </c>
      <c r="F301" s="4">
        <f>CHOOSE( CONTROL!$C$33, 9.4988, 9.4971) * CHOOSE(CONTROL!$C$16, $D$11, 100%, $F$11)</f>
        <v>9.4987999999999992</v>
      </c>
      <c r="G301" s="8">
        <f>CHOOSE( CONTROL!$C$33, 8.6976, 8.6959) * CHOOSE( CONTROL!$C$16, $D$11, 100%, $F$11)</f>
        <v>8.6975999999999996</v>
      </c>
      <c r="H301" s="4">
        <f>CHOOSE( CONTROL!$C$33, 9.6342, 9.6325) * CHOOSE(CONTROL!$C$16, $D$11, 100%, $F$11)</f>
        <v>9.6341999999999999</v>
      </c>
      <c r="I301" s="8">
        <f>CHOOSE( CONTROL!$C$33, 8.6313, 8.6297) * CHOOSE(CONTROL!$C$16, $D$11, 100%, $F$11)</f>
        <v>8.6312999999999995</v>
      </c>
      <c r="J301" s="4">
        <f>CHOOSE( CONTROL!$C$33, 8.5016, 8.5) * CHOOSE(CONTROL!$C$16, $D$11, 100%, $F$11)</f>
        <v>8.5015999999999998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1.2509999999999999</v>
      </c>
      <c r="Q301" s="9">
        <v>29.530799999999999</v>
      </c>
      <c r="R301" s="9"/>
      <c r="S301" s="11"/>
    </row>
    <row r="302" spans="1:19" ht="15.75">
      <c r="A302" s="14">
        <v>50314</v>
      </c>
      <c r="B302" s="8">
        <f>CHOOSE( CONTROL!$C$33, 9.158, 9.1569) * CHOOSE(CONTROL!$C$16, $D$11, 100%, $F$11)</f>
        <v>9.1579999999999995</v>
      </c>
      <c r="C302" s="8">
        <f>CHOOSE( CONTROL!$C$33, 9.1633, 9.1622) * CHOOSE(CONTROL!$C$16, $D$11, 100%, $F$11)</f>
        <v>9.1632999999999996</v>
      </c>
      <c r="D302" s="8">
        <f>CHOOSE( CONTROL!$C$33, 9.1877, 9.1866) * CHOOSE( CONTROL!$C$16, $D$11, 100%, $F$11)</f>
        <v>9.1876999999999995</v>
      </c>
      <c r="E302" s="12">
        <f>CHOOSE( CONTROL!$C$33, 9.1791, 9.178) * CHOOSE( CONTROL!$C$16, $D$11, 100%, $F$11)</f>
        <v>9.1791</v>
      </c>
      <c r="F302" s="4">
        <f>CHOOSE( CONTROL!$C$33, 9.8873, 9.8862) * CHOOSE(CONTROL!$C$16, $D$11, 100%, $F$11)</f>
        <v>9.8872999999999998</v>
      </c>
      <c r="G302" s="8">
        <f>CHOOSE( CONTROL!$C$33, 9.0817, 9.0806) * CHOOSE( CONTROL!$C$16, $D$11, 100%, $F$11)</f>
        <v>9.0816999999999997</v>
      </c>
      <c r="H302" s="4">
        <f>CHOOSE( CONTROL!$C$33, 10.0181, 10.017) * CHOOSE(CONTROL!$C$16, $D$11, 100%, $F$11)</f>
        <v>10.0181</v>
      </c>
      <c r="I302" s="8">
        <f>CHOOSE( CONTROL!$C$33, 9.0094, 9.0084) * CHOOSE(CONTROL!$C$16, $D$11, 100%, $F$11)</f>
        <v>9.0093999999999994</v>
      </c>
      <c r="J302" s="4">
        <f>CHOOSE( CONTROL!$C$33, 8.8787, 8.8776) * CHOOSE(CONTROL!$C$16, $D$11, 100%, $F$11)</f>
        <v>8.8787000000000003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1.2927</v>
      </c>
      <c r="Q302" s="9">
        <v>30.5152</v>
      </c>
      <c r="R302" s="9"/>
      <c r="S302" s="11"/>
    </row>
    <row r="303" spans="1:19" ht="15.75">
      <c r="A303" s="14">
        <v>50345</v>
      </c>
      <c r="B303" s="8">
        <f>CHOOSE( CONTROL!$C$33, 9.8757, 9.8747) * CHOOSE(CONTROL!$C$16, $D$11, 100%, $F$11)</f>
        <v>9.8757000000000001</v>
      </c>
      <c r="C303" s="8">
        <f>CHOOSE( CONTROL!$C$33, 9.8808, 9.8797) * CHOOSE(CONTROL!$C$16, $D$11, 100%, $F$11)</f>
        <v>9.8808000000000007</v>
      </c>
      <c r="D303" s="8">
        <f>CHOOSE( CONTROL!$C$33, 9.8712, 9.8701) * CHOOSE( CONTROL!$C$16, $D$11, 100%, $F$11)</f>
        <v>9.8712</v>
      </c>
      <c r="E303" s="12">
        <f>CHOOSE( CONTROL!$C$33, 9.8742, 9.8731) * CHOOSE( CONTROL!$C$16, $D$11, 100%, $F$11)</f>
        <v>9.8742000000000001</v>
      </c>
      <c r="F303" s="4">
        <f>CHOOSE( CONTROL!$C$33, 10.5359, 10.5348) * CHOOSE(CONTROL!$C$16, $D$11, 100%, $F$11)</f>
        <v>10.5359</v>
      </c>
      <c r="G303" s="8">
        <f>CHOOSE( CONTROL!$C$33, 9.778, 9.7769) * CHOOSE( CONTROL!$C$16, $D$11, 100%, $F$11)</f>
        <v>9.7780000000000005</v>
      </c>
      <c r="H303" s="4">
        <f>CHOOSE( CONTROL!$C$33, 10.6591, 10.6581) * CHOOSE(CONTROL!$C$16, $D$11, 100%, $F$11)</f>
        <v>10.6591</v>
      </c>
      <c r="I303" s="8">
        <f>CHOOSE( CONTROL!$C$33, 9.7661, 9.7651) * CHOOSE(CONTROL!$C$16, $D$11, 100%, $F$11)</f>
        <v>9.7660999999999998</v>
      </c>
      <c r="J303" s="4">
        <f>CHOOSE( CONTROL!$C$33, 9.5757, 9.5746) * CHOOSE(CONTROL!$C$16, $D$11, 100%, $F$11)</f>
        <v>9.5756999999999994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29.530799999999999</v>
      </c>
      <c r="R303" s="9"/>
      <c r="S303" s="11"/>
    </row>
    <row r="304" spans="1:19" ht="15.75">
      <c r="A304" s="14">
        <v>50375</v>
      </c>
      <c r="B304" s="8">
        <f>CHOOSE( CONTROL!$C$33, 9.8578, 9.8567) * CHOOSE(CONTROL!$C$16, $D$11, 100%, $F$11)</f>
        <v>9.8577999999999992</v>
      </c>
      <c r="C304" s="8">
        <f>CHOOSE( CONTROL!$C$33, 9.8629, 9.8618) * CHOOSE(CONTROL!$C$16, $D$11, 100%, $F$11)</f>
        <v>9.8628999999999998</v>
      </c>
      <c r="D304" s="8">
        <f>CHOOSE( CONTROL!$C$33, 9.8547, 9.8536) * CHOOSE( CONTROL!$C$16, $D$11, 100%, $F$11)</f>
        <v>9.8546999999999993</v>
      </c>
      <c r="E304" s="12">
        <f>CHOOSE( CONTROL!$C$33, 9.8572, 9.8561) * CHOOSE( CONTROL!$C$16, $D$11, 100%, $F$11)</f>
        <v>9.8572000000000006</v>
      </c>
      <c r="F304" s="4">
        <f>CHOOSE( CONTROL!$C$33, 10.5179, 10.5168) * CHOOSE(CONTROL!$C$16, $D$11, 100%, $F$11)</f>
        <v>10.517899999999999</v>
      </c>
      <c r="G304" s="8">
        <f>CHOOSE( CONTROL!$C$33, 9.7613, 9.7602) * CHOOSE( CONTROL!$C$16, $D$11, 100%, $F$11)</f>
        <v>9.7613000000000003</v>
      </c>
      <c r="H304" s="4">
        <f>CHOOSE( CONTROL!$C$33, 10.6414, 10.6403) * CHOOSE(CONTROL!$C$16, $D$11, 100%, $F$11)</f>
        <v>10.641400000000001</v>
      </c>
      <c r="I304" s="8">
        <f>CHOOSE( CONTROL!$C$33, 9.7531, 9.7521) * CHOOSE(CONTROL!$C$16, $D$11, 100%, $F$11)</f>
        <v>9.7530999999999999</v>
      </c>
      <c r="J304" s="4">
        <f>CHOOSE( CONTROL!$C$33, 9.5582, 9.5572) * CHOOSE(CONTROL!$C$16, $D$11, 100%, $F$11)</f>
        <v>9.5581999999999994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30.5152</v>
      </c>
      <c r="R304" s="9"/>
      <c r="S304" s="11"/>
    </row>
    <row r="305" spans="1:19" ht="15.75">
      <c r="A305" s="13">
        <v>50436</v>
      </c>
      <c r="B305" s="8">
        <f>CHOOSE( CONTROL!$C$33, 10.1483, 10.1472) * CHOOSE(CONTROL!$C$16, $D$11, 100%, $F$11)</f>
        <v>10.148300000000001</v>
      </c>
      <c r="C305" s="8">
        <f>CHOOSE( CONTROL!$C$33, 10.1533, 10.1523) * CHOOSE(CONTROL!$C$16, $D$11, 100%, $F$11)</f>
        <v>10.1533</v>
      </c>
      <c r="D305" s="8">
        <f>CHOOSE( CONTROL!$C$33, 10.156, 10.1549) * CHOOSE( CONTROL!$C$16, $D$11, 100%, $F$11)</f>
        <v>10.156000000000001</v>
      </c>
      <c r="E305" s="12">
        <f>CHOOSE( CONTROL!$C$33, 10.1545, 10.1534) * CHOOSE( CONTROL!$C$16, $D$11, 100%, $F$11)</f>
        <v>10.154500000000001</v>
      </c>
      <c r="F305" s="4">
        <f>CHOOSE( CONTROL!$C$33, 10.8084, 10.8073) * CHOOSE(CONTROL!$C$16, $D$11, 100%, $F$11)</f>
        <v>10.808400000000001</v>
      </c>
      <c r="G305" s="8">
        <f>CHOOSE( CONTROL!$C$33, 10.0512, 10.0501) * CHOOSE( CONTROL!$C$16, $D$11, 100%, $F$11)</f>
        <v>10.0512</v>
      </c>
      <c r="H305" s="4">
        <f>CHOOSE( CONTROL!$C$33, 10.9285, 10.9274) * CHOOSE(CONTROL!$C$16, $D$11, 100%, $F$11)</f>
        <v>10.9285</v>
      </c>
      <c r="I305" s="8">
        <f>CHOOSE( CONTROL!$C$33, 10.0067, 10.0056) * CHOOSE(CONTROL!$C$16, $D$11, 100%, $F$11)</f>
        <v>10.0067</v>
      </c>
      <c r="J305" s="4">
        <f>CHOOSE( CONTROL!$C$33, 9.8401, 9.8391) * CHOOSE(CONTROL!$C$16, $D$11, 100%, $F$11)</f>
        <v>9.8400999999999996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30.451899999999998</v>
      </c>
      <c r="R305" s="9"/>
      <c r="S305" s="11"/>
    </row>
    <row r="306" spans="1:19" ht="15.75">
      <c r="A306" s="13">
        <v>50464</v>
      </c>
      <c r="B306" s="8">
        <f>CHOOSE( CONTROL!$C$33, 9.4929, 9.4918) * CHOOSE(CONTROL!$C$16, $D$11, 100%, $F$11)</f>
        <v>9.4929000000000006</v>
      </c>
      <c r="C306" s="8">
        <f>CHOOSE( CONTROL!$C$33, 9.4979, 9.4968) * CHOOSE(CONTROL!$C$16, $D$11, 100%, $F$11)</f>
        <v>9.4978999999999996</v>
      </c>
      <c r="D306" s="8">
        <f>CHOOSE( CONTROL!$C$33, 9.5005, 9.4994) * CHOOSE( CONTROL!$C$16, $D$11, 100%, $F$11)</f>
        <v>9.5005000000000006</v>
      </c>
      <c r="E306" s="12">
        <f>CHOOSE( CONTROL!$C$33, 9.499, 9.4979) * CHOOSE( CONTROL!$C$16, $D$11, 100%, $F$11)</f>
        <v>9.4990000000000006</v>
      </c>
      <c r="F306" s="4">
        <f>CHOOSE( CONTROL!$C$33, 10.153, 10.1519) * CHOOSE(CONTROL!$C$16, $D$11, 100%, $F$11)</f>
        <v>10.153</v>
      </c>
      <c r="G306" s="8">
        <f>CHOOSE( CONTROL!$C$33, 9.4034, 9.4023) * CHOOSE( CONTROL!$C$16, $D$11, 100%, $F$11)</f>
        <v>9.4033999999999995</v>
      </c>
      <c r="H306" s="4">
        <f>CHOOSE( CONTROL!$C$33, 10.2807, 10.2797) * CHOOSE(CONTROL!$C$16, $D$11, 100%, $F$11)</f>
        <v>10.2807</v>
      </c>
      <c r="I306" s="8">
        <f>CHOOSE( CONTROL!$C$33, 9.37, 9.369) * CHOOSE(CONTROL!$C$16, $D$11, 100%, $F$11)</f>
        <v>9.3699999999999992</v>
      </c>
      <c r="J306" s="4">
        <f>CHOOSE( CONTROL!$C$33, 9.2041, 9.203) * CHOOSE(CONTROL!$C$16, $D$11, 100%, $F$11)</f>
        <v>9.2041000000000004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27.504999999999999</v>
      </c>
      <c r="R306" s="9"/>
      <c r="S306" s="11"/>
    </row>
    <row r="307" spans="1:19" ht="15.75">
      <c r="A307" s="13">
        <v>50495</v>
      </c>
      <c r="B307" s="8">
        <f>CHOOSE( CONTROL!$C$33, 9.291, 9.2899) * CHOOSE(CONTROL!$C$16, $D$11, 100%, $F$11)</f>
        <v>9.2910000000000004</v>
      </c>
      <c r="C307" s="8">
        <f>CHOOSE( CONTROL!$C$33, 9.2961, 9.295) * CHOOSE(CONTROL!$C$16, $D$11, 100%, $F$11)</f>
        <v>9.2960999999999991</v>
      </c>
      <c r="D307" s="8">
        <f>CHOOSE( CONTROL!$C$33, 9.2979, 9.2969) * CHOOSE( CONTROL!$C$16, $D$11, 100%, $F$11)</f>
        <v>9.2979000000000003</v>
      </c>
      <c r="E307" s="12">
        <f>CHOOSE( CONTROL!$C$33, 9.2967, 9.2957) * CHOOSE( CONTROL!$C$16, $D$11, 100%, $F$11)</f>
        <v>9.2966999999999995</v>
      </c>
      <c r="F307" s="4">
        <f>CHOOSE( CONTROL!$C$33, 9.9511, 9.95) * CHOOSE(CONTROL!$C$16, $D$11, 100%, $F$11)</f>
        <v>9.9511000000000003</v>
      </c>
      <c r="G307" s="8">
        <f>CHOOSE( CONTROL!$C$33, 9.2034, 9.2023) * CHOOSE( CONTROL!$C$16, $D$11, 100%, $F$11)</f>
        <v>9.2034000000000002</v>
      </c>
      <c r="H307" s="4">
        <f>CHOOSE( CONTROL!$C$33, 10.0812, 10.0802) * CHOOSE(CONTROL!$C$16, $D$11, 100%, $F$11)</f>
        <v>10.081200000000001</v>
      </c>
      <c r="I307" s="8">
        <f>CHOOSE( CONTROL!$C$33, 9.1719, 9.1708) * CHOOSE(CONTROL!$C$16, $D$11, 100%, $F$11)</f>
        <v>9.1719000000000008</v>
      </c>
      <c r="J307" s="4">
        <f>CHOOSE( CONTROL!$C$33, 9.0082, 9.0071) * CHOOSE(CONTROL!$C$16, $D$11, 100%, $F$11)</f>
        <v>9.0082000000000004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30.451899999999998</v>
      </c>
      <c r="R307" s="9"/>
      <c r="S307" s="11"/>
    </row>
    <row r="308" spans="1:19" ht="15.75">
      <c r="A308" s="13">
        <v>50525</v>
      </c>
      <c r="B308" s="8">
        <f>CHOOSE( CONTROL!$C$33, 9.4328, 9.4317) * CHOOSE(CONTROL!$C$16, $D$11, 100%, $F$11)</f>
        <v>9.4328000000000003</v>
      </c>
      <c r="C308" s="8">
        <f>CHOOSE( CONTROL!$C$33, 9.4373, 9.4362) * CHOOSE(CONTROL!$C$16, $D$11, 100%, $F$11)</f>
        <v>9.4373000000000005</v>
      </c>
      <c r="D308" s="8">
        <f>CHOOSE( CONTROL!$C$33, 9.4617, 9.4606) * CHOOSE( CONTROL!$C$16, $D$11, 100%, $F$11)</f>
        <v>9.4617000000000004</v>
      </c>
      <c r="E308" s="12">
        <f>CHOOSE( CONTROL!$C$33, 9.4531, 9.452) * CHOOSE( CONTROL!$C$16, $D$11, 100%, $F$11)</f>
        <v>9.4530999999999992</v>
      </c>
      <c r="F308" s="4">
        <f>CHOOSE( CONTROL!$C$33, 10.1617, 10.1606) * CHOOSE(CONTROL!$C$16, $D$11, 100%, $F$11)</f>
        <v>10.1617</v>
      </c>
      <c r="G308" s="8">
        <f>CHOOSE( CONTROL!$C$33, 9.3525, 9.3514) * CHOOSE( CONTROL!$C$16, $D$11, 100%, $F$11)</f>
        <v>9.3524999999999991</v>
      </c>
      <c r="H308" s="4">
        <f>CHOOSE( CONTROL!$C$33, 10.2894, 10.2883) * CHOOSE(CONTROL!$C$16, $D$11, 100%, $F$11)</f>
        <v>10.289400000000001</v>
      </c>
      <c r="I308" s="8">
        <f>CHOOSE( CONTROL!$C$33, 9.2741, 9.273) * CHOOSE(CONTROL!$C$16, $D$11, 100%, $F$11)</f>
        <v>9.2741000000000007</v>
      </c>
      <c r="J308" s="4">
        <f>CHOOSE( CONTROL!$C$33, 9.1451, 9.144) * CHOOSE(CONTROL!$C$16, $D$11, 100%, $F$11)</f>
        <v>9.1450999999999993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1.2509999999999999</v>
      </c>
      <c r="Q308" s="9">
        <v>29.4696</v>
      </c>
      <c r="R308" s="9"/>
      <c r="S308" s="11"/>
    </row>
    <row r="309" spans="1:19" ht="15.75">
      <c r="A309" s="13">
        <v>50556</v>
      </c>
      <c r="B309" s="8">
        <f>CHOOSE( CONTROL!$C$33, 9.6858, 9.6841) * CHOOSE(CONTROL!$C$16, $D$11, 100%, $F$11)</f>
        <v>9.6858000000000004</v>
      </c>
      <c r="C309" s="8">
        <f>CHOOSE( CONTROL!$C$33, 9.6938, 9.6921) * CHOOSE(CONTROL!$C$16, $D$11, 100%, $F$11)</f>
        <v>9.6937999999999995</v>
      </c>
      <c r="D309" s="8">
        <f>CHOOSE( CONTROL!$C$33, 9.7121, 9.7104) * CHOOSE( CONTROL!$C$16, $D$11, 100%, $F$11)</f>
        <v>9.7120999999999995</v>
      </c>
      <c r="E309" s="12">
        <f>CHOOSE( CONTROL!$C$33, 9.7042, 9.7025) * CHOOSE( CONTROL!$C$16, $D$11, 100%, $F$11)</f>
        <v>9.7042000000000002</v>
      </c>
      <c r="F309" s="4">
        <f>CHOOSE( CONTROL!$C$33, 10.4134, 10.4117) * CHOOSE(CONTROL!$C$16, $D$11, 100%, $F$11)</f>
        <v>10.413399999999999</v>
      </c>
      <c r="G309" s="8">
        <f>CHOOSE( CONTROL!$C$33, 9.6011, 9.5994) * CHOOSE( CONTROL!$C$16, $D$11, 100%, $F$11)</f>
        <v>9.6011000000000006</v>
      </c>
      <c r="H309" s="4">
        <f>CHOOSE( CONTROL!$C$33, 10.5381, 10.5364) * CHOOSE(CONTROL!$C$16, $D$11, 100%, $F$11)</f>
        <v>10.5381</v>
      </c>
      <c r="I309" s="8">
        <f>CHOOSE( CONTROL!$C$33, 9.5178, 9.5162) * CHOOSE(CONTROL!$C$16, $D$11, 100%, $F$11)</f>
        <v>9.5177999999999994</v>
      </c>
      <c r="J309" s="4">
        <f>CHOOSE( CONTROL!$C$33, 9.3893, 9.3876) * CHOOSE(CONTROL!$C$16, $D$11, 100%, $F$11)</f>
        <v>9.3893000000000004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1.2927</v>
      </c>
      <c r="Q309" s="9">
        <v>30.451899999999998</v>
      </c>
      <c r="R309" s="9"/>
      <c r="S309" s="11"/>
    </row>
    <row r="310" spans="1:19" ht="15.75">
      <c r="A310" s="13">
        <v>50586</v>
      </c>
      <c r="B310" s="8">
        <f>CHOOSE( CONTROL!$C$33, 9.5303, 9.5286) * CHOOSE(CONTROL!$C$16, $D$11, 100%, $F$11)</f>
        <v>9.5303000000000004</v>
      </c>
      <c r="C310" s="8">
        <f>CHOOSE( CONTROL!$C$33, 9.5383, 9.5366) * CHOOSE(CONTROL!$C$16, $D$11, 100%, $F$11)</f>
        <v>9.5382999999999996</v>
      </c>
      <c r="D310" s="8">
        <f>CHOOSE( CONTROL!$C$33, 9.5568, 9.5551) * CHOOSE( CONTROL!$C$16, $D$11, 100%, $F$11)</f>
        <v>9.5568000000000008</v>
      </c>
      <c r="E310" s="12">
        <f>CHOOSE( CONTROL!$C$33, 9.5489, 9.5472) * CHOOSE( CONTROL!$C$16, $D$11, 100%, $F$11)</f>
        <v>9.5488999999999997</v>
      </c>
      <c r="F310" s="4">
        <f>CHOOSE( CONTROL!$C$33, 10.2578, 10.2562) * CHOOSE(CONTROL!$C$16, $D$11, 100%, $F$11)</f>
        <v>10.2578</v>
      </c>
      <c r="G310" s="8">
        <f>CHOOSE( CONTROL!$C$33, 9.4476, 9.4459) * CHOOSE( CONTROL!$C$16, $D$11, 100%, $F$11)</f>
        <v>9.4475999999999996</v>
      </c>
      <c r="H310" s="4">
        <f>CHOOSE( CONTROL!$C$33, 10.3844, 10.3827) * CHOOSE(CONTROL!$C$16, $D$11, 100%, $F$11)</f>
        <v>10.384399999999999</v>
      </c>
      <c r="I310" s="8">
        <f>CHOOSE( CONTROL!$C$33, 9.3676, 9.366) * CHOOSE(CONTROL!$C$16, $D$11, 100%, $F$11)</f>
        <v>9.3675999999999995</v>
      </c>
      <c r="J310" s="4">
        <f>CHOOSE( CONTROL!$C$33, 9.2383, 9.2367) * CHOOSE(CONTROL!$C$16, $D$11, 100%, $F$11)</f>
        <v>9.2383000000000006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1.2509999999999999</v>
      </c>
      <c r="Q310" s="9">
        <v>29.4696</v>
      </c>
      <c r="R310" s="9"/>
      <c r="S310" s="11"/>
    </row>
    <row r="311" spans="1:19" ht="15.75">
      <c r="A311" s="13">
        <v>50617</v>
      </c>
      <c r="B311" s="8">
        <f>CHOOSE( CONTROL!$C$33, 9.9398, 9.9382) * CHOOSE(CONTROL!$C$16, $D$11, 100%, $F$11)</f>
        <v>9.9398</v>
      </c>
      <c r="C311" s="8">
        <f>CHOOSE( CONTROL!$C$33, 9.9478, 9.9461) * CHOOSE(CONTROL!$C$16, $D$11, 100%, $F$11)</f>
        <v>9.9478000000000009</v>
      </c>
      <c r="D311" s="8">
        <f>CHOOSE( CONTROL!$C$33, 9.9666, 9.9649) * CHOOSE( CONTROL!$C$16, $D$11, 100%, $F$11)</f>
        <v>9.9665999999999997</v>
      </c>
      <c r="E311" s="12">
        <f>CHOOSE( CONTROL!$C$33, 9.9586, 9.9569) * CHOOSE( CONTROL!$C$16, $D$11, 100%, $F$11)</f>
        <v>9.9586000000000006</v>
      </c>
      <c r="F311" s="4">
        <f>CHOOSE( CONTROL!$C$33, 10.6674, 10.6657) * CHOOSE(CONTROL!$C$16, $D$11, 100%, $F$11)</f>
        <v>10.667400000000001</v>
      </c>
      <c r="G311" s="8">
        <f>CHOOSE( CONTROL!$C$33, 9.8525, 9.8509) * CHOOSE( CONTROL!$C$16, $D$11, 100%, $F$11)</f>
        <v>9.8524999999999991</v>
      </c>
      <c r="H311" s="4">
        <f>CHOOSE( CONTROL!$C$33, 10.7891, 10.7875) * CHOOSE(CONTROL!$C$16, $D$11, 100%, $F$11)</f>
        <v>10.789099999999999</v>
      </c>
      <c r="I311" s="8">
        <f>CHOOSE( CONTROL!$C$33, 9.7662, 9.7645) * CHOOSE(CONTROL!$C$16, $D$11, 100%, $F$11)</f>
        <v>9.7661999999999995</v>
      </c>
      <c r="J311" s="4">
        <f>CHOOSE( CONTROL!$C$33, 9.6358, 9.6342) * CHOOSE(CONTROL!$C$16, $D$11, 100%, $F$11)</f>
        <v>9.6357999999999997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1.2927</v>
      </c>
      <c r="Q311" s="9">
        <v>30.451899999999998</v>
      </c>
      <c r="R311" s="9"/>
      <c r="S311" s="11"/>
    </row>
    <row r="312" spans="1:19" ht="15.75">
      <c r="A312" s="13">
        <v>50648</v>
      </c>
      <c r="B312" s="8">
        <f>CHOOSE( CONTROL!$C$33, 9.1735, 9.1719) * CHOOSE(CONTROL!$C$16, $D$11, 100%, $F$11)</f>
        <v>9.1735000000000007</v>
      </c>
      <c r="C312" s="8">
        <f>CHOOSE( CONTROL!$C$33, 9.1815, 9.1799) * CHOOSE(CONTROL!$C$16, $D$11, 100%, $F$11)</f>
        <v>9.1814999999999998</v>
      </c>
      <c r="D312" s="8">
        <f>CHOOSE( CONTROL!$C$33, 9.2004, 9.1987) * CHOOSE( CONTROL!$C$16, $D$11, 100%, $F$11)</f>
        <v>9.2004000000000001</v>
      </c>
      <c r="E312" s="12">
        <f>CHOOSE( CONTROL!$C$33, 9.1923, 9.1907) * CHOOSE( CONTROL!$C$16, $D$11, 100%, $F$11)</f>
        <v>9.1922999999999995</v>
      </c>
      <c r="F312" s="4">
        <f>CHOOSE( CONTROL!$C$33, 9.9011, 9.8994) * CHOOSE(CONTROL!$C$16, $D$11, 100%, $F$11)</f>
        <v>9.9010999999999996</v>
      </c>
      <c r="G312" s="8">
        <f>CHOOSE( CONTROL!$C$33, 9.0953, 9.0936) * CHOOSE( CONTROL!$C$16, $D$11, 100%, $F$11)</f>
        <v>9.0952999999999999</v>
      </c>
      <c r="H312" s="4">
        <f>CHOOSE( CONTROL!$C$33, 10.0318, 10.0301) * CHOOSE(CONTROL!$C$16, $D$11, 100%, $F$11)</f>
        <v>10.0318</v>
      </c>
      <c r="I312" s="8">
        <f>CHOOSE( CONTROL!$C$33, 9.0224, 9.0207) * CHOOSE(CONTROL!$C$16, $D$11, 100%, $F$11)</f>
        <v>9.0223999999999993</v>
      </c>
      <c r="J312" s="4">
        <f>CHOOSE( CONTROL!$C$33, 8.8921, 8.8905) * CHOOSE(CONTROL!$C$16, $D$11, 100%, $F$11)</f>
        <v>8.8920999999999992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1.2927</v>
      </c>
      <c r="Q312" s="9">
        <v>30.451899999999998</v>
      </c>
      <c r="R312" s="9"/>
      <c r="S312" s="11"/>
    </row>
    <row r="313" spans="1:19" ht="15.75">
      <c r="A313" s="13">
        <v>50678</v>
      </c>
      <c r="B313" s="8">
        <f>CHOOSE( CONTROL!$C$33, 8.9816, 8.98) * CHOOSE(CONTROL!$C$16, $D$11, 100%, $F$11)</f>
        <v>8.9816000000000003</v>
      </c>
      <c r="C313" s="8">
        <f>CHOOSE( CONTROL!$C$33, 8.9896, 8.988) * CHOOSE(CONTROL!$C$16, $D$11, 100%, $F$11)</f>
        <v>8.9895999999999994</v>
      </c>
      <c r="D313" s="8">
        <f>CHOOSE( CONTROL!$C$33, 9.0084, 9.0067) * CHOOSE( CONTROL!$C$16, $D$11, 100%, $F$11)</f>
        <v>9.0084</v>
      </c>
      <c r="E313" s="12">
        <f>CHOOSE( CONTROL!$C$33, 9.0004, 8.9987) * CHOOSE( CONTROL!$C$16, $D$11, 100%, $F$11)</f>
        <v>9.0004000000000008</v>
      </c>
      <c r="F313" s="4">
        <f>CHOOSE( CONTROL!$C$33, 9.7092, 9.7075) * CHOOSE(CONTROL!$C$16, $D$11, 100%, $F$11)</f>
        <v>9.7091999999999992</v>
      </c>
      <c r="G313" s="8">
        <f>CHOOSE( CONTROL!$C$33, 8.9055, 8.9039) * CHOOSE( CONTROL!$C$16, $D$11, 100%, $F$11)</f>
        <v>8.9055</v>
      </c>
      <c r="H313" s="4">
        <f>CHOOSE( CONTROL!$C$33, 9.8421, 9.8405) * CHOOSE(CONTROL!$C$16, $D$11, 100%, $F$11)</f>
        <v>9.8421000000000003</v>
      </c>
      <c r="I313" s="8">
        <f>CHOOSE( CONTROL!$C$33, 8.8357, 8.834) * CHOOSE(CONTROL!$C$16, $D$11, 100%, $F$11)</f>
        <v>8.8356999999999992</v>
      </c>
      <c r="J313" s="4">
        <f>CHOOSE( CONTROL!$C$33, 8.7059, 8.7043) * CHOOSE(CONTROL!$C$16, $D$11, 100%, $F$11)</f>
        <v>8.7058999999999997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1.2509999999999999</v>
      </c>
      <c r="Q313" s="9">
        <v>29.4696</v>
      </c>
      <c r="R313" s="9"/>
      <c r="S313" s="11"/>
    </row>
    <row r="314" spans="1:19" ht="15.75">
      <c r="A314" s="13">
        <v>50709</v>
      </c>
      <c r="B314" s="8">
        <f>CHOOSE( CONTROL!$C$33, 9.3778, 9.3767) * CHOOSE(CONTROL!$C$16, $D$11, 100%, $F$11)</f>
        <v>9.3778000000000006</v>
      </c>
      <c r="C314" s="8">
        <f>CHOOSE( CONTROL!$C$33, 9.3831, 9.382) * CHOOSE(CONTROL!$C$16, $D$11, 100%, $F$11)</f>
        <v>9.3831000000000007</v>
      </c>
      <c r="D314" s="8">
        <f>CHOOSE( CONTROL!$C$33, 9.4075, 9.4064) * CHOOSE( CONTROL!$C$16, $D$11, 100%, $F$11)</f>
        <v>9.4075000000000006</v>
      </c>
      <c r="E314" s="12">
        <f>CHOOSE( CONTROL!$C$33, 9.3989, 9.3978) * CHOOSE( CONTROL!$C$16, $D$11, 100%, $F$11)</f>
        <v>9.3988999999999994</v>
      </c>
      <c r="F314" s="4">
        <f>CHOOSE( CONTROL!$C$33, 10.107, 10.106) * CHOOSE(CONTROL!$C$16, $D$11, 100%, $F$11)</f>
        <v>10.106999999999999</v>
      </c>
      <c r="G314" s="8">
        <f>CHOOSE( CONTROL!$C$33, 9.2989, 9.2978) * CHOOSE( CONTROL!$C$16, $D$11, 100%, $F$11)</f>
        <v>9.2988999999999997</v>
      </c>
      <c r="H314" s="4">
        <f>CHOOSE( CONTROL!$C$33, 10.2353, 10.2343) * CHOOSE(CONTROL!$C$16, $D$11, 100%, $F$11)</f>
        <v>10.235300000000001</v>
      </c>
      <c r="I314" s="8">
        <f>CHOOSE( CONTROL!$C$33, 9.2229, 9.2218) * CHOOSE(CONTROL!$C$16, $D$11, 100%, $F$11)</f>
        <v>9.2228999999999992</v>
      </c>
      <c r="J314" s="4">
        <f>CHOOSE( CONTROL!$C$33, 9.092, 9.0909) * CHOOSE(CONTROL!$C$16, $D$11, 100%, $F$11)</f>
        <v>9.0920000000000005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1.2927</v>
      </c>
      <c r="Q314" s="9">
        <v>30.451899999999998</v>
      </c>
      <c r="R314" s="9"/>
      <c r="S314" s="11"/>
    </row>
    <row r="315" spans="1:19" ht="15.75">
      <c r="A315" s="13">
        <v>50739</v>
      </c>
      <c r="B315" s="8">
        <f>CHOOSE( CONTROL!$C$33, 10.1128, 10.1117) * CHOOSE(CONTROL!$C$16, $D$11, 100%, $F$11)</f>
        <v>10.1128</v>
      </c>
      <c r="C315" s="8">
        <f>CHOOSE( CONTROL!$C$33, 10.1179, 10.1168) * CHOOSE(CONTROL!$C$16, $D$11, 100%, $F$11)</f>
        <v>10.117900000000001</v>
      </c>
      <c r="D315" s="8">
        <f>CHOOSE( CONTROL!$C$33, 10.1083, 10.1072) * CHOOSE( CONTROL!$C$16, $D$11, 100%, $F$11)</f>
        <v>10.1083</v>
      </c>
      <c r="E315" s="12">
        <f>CHOOSE( CONTROL!$C$33, 10.1113, 10.1102) * CHOOSE( CONTROL!$C$16, $D$11, 100%, $F$11)</f>
        <v>10.1113</v>
      </c>
      <c r="F315" s="4">
        <f>CHOOSE( CONTROL!$C$33, 10.7729, 10.7718) * CHOOSE(CONTROL!$C$16, $D$11, 100%, $F$11)</f>
        <v>10.7729</v>
      </c>
      <c r="G315" s="8">
        <f>CHOOSE( CONTROL!$C$33, 10.0123, 10.0112) * CHOOSE( CONTROL!$C$16, $D$11, 100%, $F$11)</f>
        <v>10.0123</v>
      </c>
      <c r="H315" s="4">
        <f>CHOOSE( CONTROL!$C$33, 10.8934, 10.8923) * CHOOSE(CONTROL!$C$16, $D$11, 100%, $F$11)</f>
        <v>10.8934</v>
      </c>
      <c r="I315" s="8">
        <f>CHOOSE( CONTROL!$C$33, 9.9963, 9.9952) * CHOOSE(CONTROL!$C$16, $D$11, 100%, $F$11)</f>
        <v>9.9962999999999997</v>
      </c>
      <c r="J315" s="4">
        <f>CHOOSE( CONTROL!$C$33, 9.8057, 9.8047) * CHOOSE(CONTROL!$C$16, $D$11, 100%, $F$11)</f>
        <v>9.8056999999999999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29.4696</v>
      </c>
      <c r="R315" s="9"/>
      <c r="S315" s="11"/>
    </row>
    <row r="316" spans="1:19" ht="15.75">
      <c r="A316" s="13">
        <v>50770</v>
      </c>
      <c r="B316" s="8">
        <f>CHOOSE( CONTROL!$C$33, 10.0944, 10.0933) * CHOOSE(CONTROL!$C$16, $D$11, 100%, $F$11)</f>
        <v>10.0944</v>
      </c>
      <c r="C316" s="8">
        <f>CHOOSE( CONTROL!$C$33, 10.0995, 10.0984) * CHOOSE(CONTROL!$C$16, $D$11, 100%, $F$11)</f>
        <v>10.099500000000001</v>
      </c>
      <c r="D316" s="8">
        <f>CHOOSE( CONTROL!$C$33, 10.0913, 10.0902) * CHOOSE( CONTROL!$C$16, $D$11, 100%, $F$11)</f>
        <v>10.0913</v>
      </c>
      <c r="E316" s="12">
        <f>CHOOSE( CONTROL!$C$33, 10.0938, 10.0927) * CHOOSE( CONTROL!$C$16, $D$11, 100%, $F$11)</f>
        <v>10.0938</v>
      </c>
      <c r="F316" s="4">
        <f>CHOOSE( CONTROL!$C$33, 10.7545, 10.7535) * CHOOSE(CONTROL!$C$16, $D$11, 100%, $F$11)</f>
        <v>10.7545</v>
      </c>
      <c r="G316" s="8">
        <f>CHOOSE( CONTROL!$C$33, 9.9951, 9.9941) * CHOOSE( CONTROL!$C$16, $D$11, 100%, $F$11)</f>
        <v>9.9951000000000008</v>
      </c>
      <c r="H316" s="4">
        <f>CHOOSE( CONTROL!$C$33, 10.8752, 10.8742) * CHOOSE(CONTROL!$C$16, $D$11, 100%, $F$11)</f>
        <v>10.8752</v>
      </c>
      <c r="I316" s="8">
        <f>CHOOSE( CONTROL!$C$33, 9.9829, 9.9818) * CHOOSE(CONTROL!$C$16, $D$11, 100%, $F$11)</f>
        <v>9.9829000000000008</v>
      </c>
      <c r="J316" s="4">
        <f>CHOOSE( CONTROL!$C$33, 9.7879, 9.7868) * CHOOSE(CONTROL!$C$16, $D$11, 100%, $F$11)</f>
        <v>9.7879000000000005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30.451899999999998</v>
      </c>
      <c r="R316" s="9"/>
      <c r="S316" s="11"/>
    </row>
    <row r="317" spans="1:19" ht="15.75">
      <c r="A317" s="13">
        <v>50801</v>
      </c>
      <c r="B317" s="8">
        <f>CHOOSE( CONTROL!$C$33, 10.3919, 10.3908) * CHOOSE(CONTROL!$C$16, $D$11, 100%, $F$11)</f>
        <v>10.3919</v>
      </c>
      <c r="C317" s="8">
        <f>CHOOSE( CONTROL!$C$33, 10.3969, 10.3959) * CHOOSE(CONTROL!$C$16, $D$11, 100%, $F$11)</f>
        <v>10.3969</v>
      </c>
      <c r="D317" s="8">
        <f>CHOOSE( CONTROL!$C$33, 10.3996, 10.3985) * CHOOSE( CONTROL!$C$16, $D$11, 100%, $F$11)</f>
        <v>10.3996</v>
      </c>
      <c r="E317" s="12">
        <f>CHOOSE( CONTROL!$C$33, 10.3981, 10.397) * CHOOSE( CONTROL!$C$16, $D$11, 100%, $F$11)</f>
        <v>10.398099999999999</v>
      </c>
      <c r="F317" s="4">
        <f>CHOOSE( CONTROL!$C$33, 11.052, 11.0509) * CHOOSE(CONTROL!$C$16, $D$11, 100%, $F$11)</f>
        <v>11.052</v>
      </c>
      <c r="G317" s="8">
        <f>CHOOSE( CONTROL!$C$33, 10.2919, 10.2909) * CHOOSE( CONTROL!$C$16, $D$11, 100%, $F$11)</f>
        <v>10.2919</v>
      </c>
      <c r="H317" s="4">
        <f>CHOOSE( CONTROL!$C$33, 11.1692, 11.1681) * CHOOSE(CONTROL!$C$16, $D$11, 100%, $F$11)</f>
        <v>11.1692</v>
      </c>
      <c r="I317" s="8">
        <f>CHOOSE( CONTROL!$C$33, 10.2432, 10.2421) * CHOOSE(CONTROL!$C$16, $D$11, 100%, $F$11)</f>
        <v>10.2432</v>
      </c>
      <c r="J317" s="4">
        <f>CHOOSE( CONTROL!$C$33, 10.0766, 10.0755) * CHOOSE(CONTROL!$C$16, $D$11, 100%, $F$11)</f>
        <v>10.076599999999999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30.386800000000001</v>
      </c>
      <c r="R317" s="9"/>
      <c r="S317" s="11"/>
    </row>
    <row r="318" spans="1:19" ht="15.75">
      <c r="A318" s="13">
        <v>50829</v>
      </c>
      <c r="B318" s="8">
        <f>CHOOSE( CONTROL!$C$33, 9.7207, 9.7196) * CHOOSE(CONTROL!$C$16, $D$11, 100%, $F$11)</f>
        <v>9.7207000000000008</v>
      </c>
      <c r="C318" s="8">
        <f>CHOOSE( CONTROL!$C$33, 9.7258, 9.7247) * CHOOSE(CONTROL!$C$16, $D$11, 100%, $F$11)</f>
        <v>9.7257999999999996</v>
      </c>
      <c r="D318" s="8">
        <f>CHOOSE( CONTROL!$C$33, 9.7283, 9.7273) * CHOOSE( CONTROL!$C$16, $D$11, 100%, $F$11)</f>
        <v>9.7283000000000008</v>
      </c>
      <c r="E318" s="12">
        <f>CHOOSE( CONTROL!$C$33, 9.7268, 9.7258) * CHOOSE( CONTROL!$C$16, $D$11, 100%, $F$11)</f>
        <v>9.7268000000000008</v>
      </c>
      <c r="F318" s="4">
        <f>CHOOSE( CONTROL!$C$33, 10.3808, 10.3797) * CHOOSE(CONTROL!$C$16, $D$11, 100%, $F$11)</f>
        <v>10.380800000000001</v>
      </c>
      <c r="G318" s="8">
        <f>CHOOSE( CONTROL!$C$33, 9.6286, 9.6275) * CHOOSE( CONTROL!$C$16, $D$11, 100%, $F$11)</f>
        <v>9.6286000000000005</v>
      </c>
      <c r="H318" s="4">
        <f>CHOOSE( CONTROL!$C$33, 10.5059, 10.5048) * CHOOSE(CONTROL!$C$16, $D$11, 100%, $F$11)</f>
        <v>10.5059</v>
      </c>
      <c r="I318" s="8">
        <f>CHOOSE( CONTROL!$C$33, 9.5912, 9.5902) * CHOOSE(CONTROL!$C$16, $D$11, 100%, $F$11)</f>
        <v>9.5912000000000006</v>
      </c>
      <c r="J318" s="4">
        <f>CHOOSE( CONTROL!$C$33, 9.4252, 9.4241) * CHOOSE(CONTROL!$C$16, $D$11, 100%, $F$11)</f>
        <v>9.4252000000000002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27.446200000000001</v>
      </c>
      <c r="R318" s="9"/>
      <c r="S318" s="11"/>
    </row>
    <row r="319" spans="1:19" ht="15.75">
      <c r="A319" s="13">
        <v>50860</v>
      </c>
      <c r="B319" s="8">
        <f>CHOOSE( CONTROL!$C$33, 9.514, 9.5129) * CHOOSE(CONTROL!$C$16, $D$11, 100%, $F$11)</f>
        <v>9.5139999999999993</v>
      </c>
      <c r="C319" s="8">
        <f>CHOOSE( CONTROL!$C$33, 9.5191, 9.518) * CHOOSE(CONTROL!$C$16, $D$11, 100%, $F$11)</f>
        <v>9.5190999999999999</v>
      </c>
      <c r="D319" s="8">
        <f>CHOOSE( CONTROL!$C$33, 9.5209, 9.5198) * CHOOSE( CONTROL!$C$16, $D$11, 100%, $F$11)</f>
        <v>9.5208999999999993</v>
      </c>
      <c r="E319" s="12">
        <f>CHOOSE( CONTROL!$C$33, 9.5197, 9.5186) * CHOOSE( CONTROL!$C$16, $D$11, 100%, $F$11)</f>
        <v>9.5197000000000003</v>
      </c>
      <c r="F319" s="4">
        <f>CHOOSE( CONTROL!$C$33, 10.1741, 10.173) * CHOOSE(CONTROL!$C$16, $D$11, 100%, $F$11)</f>
        <v>10.174099999999999</v>
      </c>
      <c r="G319" s="8">
        <f>CHOOSE( CONTROL!$C$33, 9.4238, 9.4227) * CHOOSE( CONTROL!$C$16, $D$11, 100%, $F$11)</f>
        <v>9.4238</v>
      </c>
      <c r="H319" s="4">
        <f>CHOOSE( CONTROL!$C$33, 10.3016, 10.3005) * CHOOSE(CONTROL!$C$16, $D$11, 100%, $F$11)</f>
        <v>10.301600000000001</v>
      </c>
      <c r="I319" s="8">
        <f>CHOOSE( CONTROL!$C$33, 9.3884, 9.3873) * CHOOSE(CONTROL!$C$16, $D$11, 100%, $F$11)</f>
        <v>9.3884000000000007</v>
      </c>
      <c r="J319" s="4">
        <f>CHOOSE( CONTROL!$C$33, 9.2246, 9.2235) * CHOOSE(CONTROL!$C$16, $D$11, 100%, $F$11)</f>
        <v>9.2246000000000006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30.386800000000001</v>
      </c>
      <c r="R319" s="9"/>
      <c r="S319" s="11"/>
    </row>
    <row r="320" spans="1:19" ht="15.75">
      <c r="A320" s="13">
        <v>50890</v>
      </c>
      <c r="B320" s="8">
        <f>CHOOSE( CONTROL!$C$33, 9.6592, 9.6581) * CHOOSE(CONTROL!$C$16, $D$11, 100%, $F$11)</f>
        <v>9.6592000000000002</v>
      </c>
      <c r="C320" s="8">
        <f>CHOOSE( CONTROL!$C$33, 9.6637, 9.6626) * CHOOSE(CONTROL!$C$16, $D$11, 100%, $F$11)</f>
        <v>9.6637000000000004</v>
      </c>
      <c r="D320" s="8">
        <f>CHOOSE( CONTROL!$C$33, 9.6881, 9.687) * CHOOSE( CONTROL!$C$16, $D$11, 100%, $F$11)</f>
        <v>9.6881000000000004</v>
      </c>
      <c r="E320" s="12">
        <f>CHOOSE( CONTROL!$C$33, 9.6795, 9.6784) * CHOOSE( CONTROL!$C$16, $D$11, 100%, $F$11)</f>
        <v>9.6795000000000009</v>
      </c>
      <c r="F320" s="4">
        <f>CHOOSE( CONTROL!$C$33, 10.3881, 10.387) * CHOOSE(CONTROL!$C$16, $D$11, 100%, $F$11)</f>
        <v>10.3881</v>
      </c>
      <c r="G320" s="8">
        <f>CHOOSE( CONTROL!$C$33, 9.5762, 9.5752) * CHOOSE( CONTROL!$C$16, $D$11, 100%, $F$11)</f>
        <v>9.5762</v>
      </c>
      <c r="H320" s="4">
        <f>CHOOSE( CONTROL!$C$33, 10.5131, 10.512) * CHOOSE(CONTROL!$C$16, $D$11, 100%, $F$11)</f>
        <v>10.5131</v>
      </c>
      <c r="I320" s="8">
        <f>CHOOSE( CONTROL!$C$33, 9.4939, 9.4928) * CHOOSE(CONTROL!$C$16, $D$11, 100%, $F$11)</f>
        <v>9.4939</v>
      </c>
      <c r="J320" s="4">
        <f>CHOOSE( CONTROL!$C$33, 9.3648, 9.3637) * CHOOSE(CONTROL!$C$16, $D$11, 100%, $F$11)</f>
        <v>9.3648000000000007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1.2509999999999999</v>
      </c>
      <c r="Q320" s="9">
        <v>29.406600000000001</v>
      </c>
      <c r="R320" s="9"/>
      <c r="S320" s="11"/>
    </row>
    <row r="321" spans="1:19" ht="15.75">
      <c r="A321" s="13">
        <v>50921</v>
      </c>
      <c r="B321" s="8">
        <f>CHOOSE( CONTROL!$C$33, 9.9182, 9.9166) * CHOOSE(CONTROL!$C$16, $D$11, 100%, $F$11)</f>
        <v>9.9182000000000006</v>
      </c>
      <c r="C321" s="8">
        <f>CHOOSE( CONTROL!$C$33, 9.9262, 9.9245) * CHOOSE(CONTROL!$C$16, $D$11, 100%, $F$11)</f>
        <v>9.9261999999999997</v>
      </c>
      <c r="D321" s="8">
        <f>CHOOSE( CONTROL!$C$33, 9.9445, 9.9428) * CHOOSE( CONTROL!$C$16, $D$11, 100%, $F$11)</f>
        <v>9.9444999999999997</v>
      </c>
      <c r="E321" s="12">
        <f>CHOOSE( CONTROL!$C$33, 9.9366, 9.935) * CHOOSE( CONTROL!$C$16, $D$11, 100%, $F$11)</f>
        <v>9.9366000000000003</v>
      </c>
      <c r="F321" s="4">
        <f>CHOOSE( CONTROL!$C$33, 10.6458, 10.6441) * CHOOSE(CONTROL!$C$16, $D$11, 100%, $F$11)</f>
        <v>10.645799999999999</v>
      </c>
      <c r="G321" s="8">
        <f>CHOOSE( CONTROL!$C$33, 9.8308, 9.8291) * CHOOSE( CONTROL!$C$16, $D$11, 100%, $F$11)</f>
        <v>9.8308</v>
      </c>
      <c r="H321" s="4">
        <f>CHOOSE( CONTROL!$C$33, 10.7677, 10.7661) * CHOOSE(CONTROL!$C$16, $D$11, 100%, $F$11)</f>
        <v>10.7677</v>
      </c>
      <c r="I321" s="8">
        <f>CHOOSE( CONTROL!$C$33, 9.7435, 9.7419) * CHOOSE(CONTROL!$C$16, $D$11, 100%, $F$11)</f>
        <v>9.7434999999999992</v>
      </c>
      <c r="J321" s="4">
        <f>CHOOSE( CONTROL!$C$33, 9.6148, 9.6132) * CHOOSE(CONTROL!$C$16, $D$11, 100%, $F$11)</f>
        <v>9.6148000000000007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1.2927</v>
      </c>
      <c r="Q321" s="9">
        <v>30.386800000000001</v>
      </c>
      <c r="R321" s="9"/>
      <c r="S321" s="11"/>
    </row>
    <row r="322" spans="1:19" ht="15.75">
      <c r="A322" s="13">
        <v>50951</v>
      </c>
      <c r="B322" s="8">
        <f>CHOOSE( CONTROL!$C$33, 9.759, 9.7573) * CHOOSE(CONTROL!$C$16, $D$11, 100%, $F$11)</f>
        <v>9.7590000000000003</v>
      </c>
      <c r="C322" s="8">
        <f>CHOOSE( CONTROL!$C$33, 9.7669, 9.7653) * CHOOSE(CONTROL!$C$16, $D$11, 100%, $F$11)</f>
        <v>9.7668999999999997</v>
      </c>
      <c r="D322" s="8">
        <f>CHOOSE( CONTROL!$C$33, 9.7855, 9.7838) * CHOOSE( CONTROL!$C$16, $D$11, 100%, $F$11)</f>
        <v>9.7855000000000008</v>
      </c>
      <c r="E322" s="12">
        <f>CHOOSE( CONTROL!$C$33, 9.7776, 9.7759) * CHOOSE( CONTROL!$C$16, $D$11, 100%, $F$11)</f>
        <v>9.7775999999999996</v>
      </c>
      <c r="F322" s="4">
        <f>CHOOSE( CONTROL!$C$33, 10.4865, 10.4849) * CHOOSE(CONTROL!$C$16, $D$11, 100%, $F$11)</f>
        <v>10.486499999999999</v>
      </c>
      <c r="G322" s="8">
        <f>CHOOSE( CONTROL!$C$33, 9.6736, 9.6719) * CHOOSE( CONTROL!$C$16, $D$11, 100%, $F$11)</f>
        <v>9.6736000000000004</v>
      </c>
      <c r="H322" s="4">
        <f>CHOOSE( CONTROL!$C$33, 10.6104, 10.6087) * CHOOSE(CONTROL!$C$16, $D$11, 100%, $F$11)</f>
        <v>10.6104</v>
      </c>
      <c r="I322" s="8">
        <f>CHOOSE( CONTROL!$C$33, 9.5897, 9.5881) * CHOOSE(CONTROL!$C$16, $D$11, 100%, $F$11)</f>
        <v>9.5897000000000006</v>
      </c>
      <c r="J322" s="4">
        <f>CHOOSE( CONTROL!$C$33, 9.4603, 9.4586) * CHOOSE(CONTROL!$C$16, $D$11, 100%, $F$11)</f>
        <v>9.4603000000000002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1.2509999999999999</v>
      </c>
      <c r="Q322" s="9">
        <v>29.406600000000001</v>
      </c>
      <c r="R322" s="9"/>
      <c r="S322" s="11"/>
    </row>
    <row r="323" spans="1:19" ht="15.75">
      <c r="A323" s="13">
        <v>50982</v>
      </c>
      <c r="B323" s="8">
        <f>CHOOSE( CONTROL!$C$33, 10.1783, 10.1767) * CHOOSE(CONTROL!$C$16, $D$11, 100%, $F$11)</f>
        <v>10.1783</v>
      </c>
      <c r="C323" s="8">
        <f>CHOOSE( CONTROL!$C$33, 10.1863, 10.1847) * CHOOSE(CONTROL!$C$16, $D$11, 100%, $F$11)</f>
        <v>10.186299999999999</v>
      </c>
      <c r="D323" s="8">
        <f>CHOOSE( CONTROL!$C$33, 10.2051, 10.2035) * CHOOSE( CONTROL!$C$16, $D$11, 100%, $F$11)</f>
        <v>10.2051</v>
      </c>
      <c r="E323" s="12">
        <f>CHOOSE( CONTROL!$C$33, 10.1971, 10.1955) * CHOOSE( CONTROL!$C$16, $D$11, 100%, $F$11)</f>
        <v>10.197100000000001</v>
      </c>
      <c r="F323" s="4">
        <f>CHOOSE( CONTROL!$C$33, 10.9059, 10.9042) * CHOOSE(CONTROL!$C$16, $D$11, 100%, $F$11)</f>
        <v>10.905900000000001</v>
      </c>
      <c r="G323" s="8">
        <f>CHOOSE( CONTROL!$C$33, 10.0883, 10.0866) * CHOOSE( CONTROL!$C$16, $D$11, 100%, $F$11)</f>
        <v>10.0883</v>
      </c>
      <c r="H323" s="4">
        <f>CHOOSE( CONTROL!$C$33, 11.0248, 11.0232) * CHOOSE(CONTROL!$C$16, $D$11, 100%, $F$11)</f>
        <v>11.024800000000001</v>
      </c>
      <c r="I323" s="8">
        <f>CHOOSE( CONTROL!$C$33, 9.9978, 9.9961) * CHOOSE(CONTROL!$C$16, $D$11, 100%, $F$11)</f>
        <v>9.9977999999999998</v>
      </c>
      <c r="J323" s="4">
        <f>CHOOSE( CONTROL!$C$33, 9.8673, 9.8657) * CHOOSE(CONTROL!$C$16, $D$11, 100%, $F$11)</f>
        <v>9.8673000000000002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1.2927</v>
      </c>
      <c r="Q323" s="9">
        <v>30.386800000000001</v>
      </c>
      <c r="R323" s="9"/>
      <c r="S323" s="11"/>
    </row>
    <row r="324" spans="1:19" ht="15.75">
      <c r="A324" s="13">
        <v>51013</v>
      </c>
      <c r="B324" s="8">
        <f>CHOOSE( CONTROL!$C$33, 9.3936, 9.392) * CHOOSE(CONTROL!$C$16, $D$11, 100%, $F$11)</f>
        <v>9.3935999999999993</v>
      </c>
      <c r="C324" s="8">
        <f>CHOOSE( CONTROL!$C$33, 9.4016, 9.4) * CHOOSE(CONTROL!$C$16, $D$11, 100%, $F$11)</f>
        <v>9.4016000000000002</v>
      </c>
      <c r="D324" s="8">
        <f>CHOOSE( CONTROL!$C$33, 9.4205, 9.4188) * CHOOSE( CONTROL!$C$16, $D$11, 100%, $F$11)</f>
        <v>9.4205000000000005</v>
      </c>
      <c r="E324" s="12">
        <f>CHOOSE( CONTROL!$C$33, 9.4124, 9.4108) * CHOOSE( CONTROL!$C$16, $D$11, 100%, $F$11)</f>
        <v>9.4123999999999999</v>
      </c>
      <c r="F324" s="4">
        <f>CHOOSE( CONTROL!$C$33, 10.1212, 10.1195) * CHOOSE(CONTROL!$C$16, $D$11, 100%, $F$11)</f>
        <v>10.1212</v>
      </c>
      <c r="G324" s="8">
        <f>CHOOSE( CONTROL!$C$33, 9.3128, 9.3112) * CHOOSE( CONTROL!$C$16, $D$11, 100%, $F$11)</f>
        <v>9.3127999999999993</v>
      </c>
      <c r="H324" s="4">
        <f>CHOOSE( CONTROL!$C$33, 10.2493, 10.2477) * CHOOSE(CONTROL!$C$16, $D$11, 100%, $F$11)</f>
        <v>10.2493</v>
      </c>
      <c r="I324" s="8">
        <f>CHOOSE( CONTROL!$C$33, 9.2361, 9.2345) * CHOOSE(CONTROL!$C$16, $D$11, 100%, $F$11)</f>
        <v>9.2361000000000004</v>
      </c>
      <c r="J324" s="4">
        <f>CHOOSE( CONTROL!$C$33, 9.1057, 9.1041) * CHOOSE(CONTROL!$C$16, $D$11, 100%, $F$11)</f>
        <v>9.1057000000000006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1.2927</v>
      </c>
      <c r="Q324" s="9">
        <v>30.386800000000001</v>
      </c>
      <c r="R324" s="9"/>
      <c r="S324" s="11"/>
    </row>
    <row r="325" spans="1:19" ht="15.75">
      <c r="A325" s="13">
        <v>51043</v>
      </c>
      <c r="B325" s="8">
        <f>CHOOSE( CONTROL!$C$33, 9.1971, 9.1955) * CHOOSE(CONTROL!$C$16, $D$11, 100%, $F$11)</f>
        <v>9.1971000000000007</v>
      </c>
      <c r="C325" s="8">
        <f>CHOOSE( CONTROL!$C$33, 9.2051, 9.2035) * CHOOSE(CONTROL!$C$16, $D$11, 100%, $F$11)</f>
        <v>9.2050999999999998</v>
      </c>
      <c r="D325" s="8">
        <f>CHOOSE( CONTROL!$C$33, 9.2239, 9.2222) * CHOOSE( CONTROL!$C$16, $D$11, 100%, $F$11)</f>
        <v>9.2239000000000004</v>
      </c>
      <c r="E325" s="12">
        <f>CHOOSE( CONTROL!$C$33, 9.2159, 9.2142) * CHOOSE( CONTROL!$C$16, $D$11, 100%, $F$11)</f>
        <v>9.2158999999999995</v>
      </c>
      <c r="F325" s="4">
        <f>CHOOSE( CONTROL!$C$33, 9.9247, 9.923) * CHOOSE(CONTROL!$C$16, $D$11, 100%, $F$11)</f>
        <v>9.9246999999999996</v>
      </c>
      <c r="G325" s="8">
        <f>CHOOSE( CONTROL!$C$33, 9.1185, 9.1169) * CHOOSE( CONTROL!$C$16, $D$11, 100%, $F$11)</f>
        <v>9.1184999999999992</v>
      </c>
      <c r="H325" s="4">
        <f>CHOOSE( CONTROL!$C$33, 10.0551, 10.0535) * CHOOSE(CONTROL!$C$16, $D$11, 100%, $F$11)</f>
        <v>10.055099999999999</v>
      </c>
      <c r="I325" s="8">
        <f>CHOOSE( CONTROL!$C$33, 9.0449, 9.0433) * CHOOSE(CONTROL!$C$16, $D$11, 100%, $F$11)</f>
        <v>9.0449000000000002</v>
      </c>
      <c r="J325" s="4">
        <f>CHOOSE( CONTROL!$C$33, 8.915, 8.9134) * CHOOSE(CONTROL!$C$16, $D$11, 100%, $F$11)</f>
        <v>8.9149999999999991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1.2509999999999999</v>
      </c>
      <c r="Q325" s="9">
        <v>29.406600000000001</v>
      </c>
      <c r="R325" s="9"/>
      <c r="S325" s="11"/>
    </row>
    <row r="326" spans="1:19" ht="15.75">
      <c r="A326" s="13">
        <v>51074</v>
      </c>
      <c r="B326" s="8">
        <f>CHOOSE( CONTROL!$C$33, 9.6028, 9.6018) * CHOOSE(CONTROL!$C$16, $D$11, 100%, $F$11)</f>
        <v>9.6028000000000002</v>
      </c>
      <c r="C326" s="8">
        <f>CHOOSE( CONTROL!$C$33, 9.6082, 9.6071) * CHOOSE(CONTROL!$C$16, $D$11, 100%, $F$11)</f>
        <v>9.6082000000000001</v>
      </c>
      <c r="D326" s="8">
        <f>CHOOSE( CONTROL!$C$33, 9.6326, 9.6315) * CHOOSE( CONTROL!$C$16, $D$11, 100%, $F$11)</f>
        <v>9.6326000000000001</v>
      </c>
      <c r="E326" s="12">
        <f>CHOOSE( CONTROL!$C$33, 9.624, 9.6229) * CHOOSE( CONTROL!$C$16, $D$11, 100%, $F$11)</f>
        <v>9.6240000000000006</v>
      </c>
      <c r="F326" s="4">
        <f>CHOOSE( CONTROL!$C$33, 10.3321, 10.331) * CHOOSE(CONTROL!$C$16, $D$11, 100%, $F$11)</f>
        <v>10.332100000000001</v>
      </c>
      <c r="G326" s="8">
        <f>CHOOSE( CONTROL!$C$33, 9.5213, 9.5203) * CHOOSE( CONTROL!$C$16, $D$11, 100%, $F$11)</f>
        <v>9.5213000000000001</v>
      </c>
      <c r="H326" s="4">
        <f>CHOOSE( CONTROL!$C$33, 10.4578, 10.4567) * CHOOSE(CONTROL!$C$16, $D$11, 100%, $F$11)</f>
        <v>10.457800000000001</v>
      </c>
      <c r="I326" s="8">
        <f>CHOOSE( CONTROL!$C$33, 9.4414, 9.4403) * CHOOSE(CONTROL!$C$16, $D$11, 100%, $F$11)</f>
        <v>9.4413999999999998</v>
      </c>
      <c r="J326" s="4">
        <f>CHOOSE( CONTROL!$C$33, 9.3104, 9.3094) * CHOOSE(CONTROL!$C$16, $D$11, 100%, $F$11)</f>
        <v>9.3103999999999996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1.2927</v>
      </c>
      <c r="Q326" s="9">
        <v>30.386800000000001</v>
      </c>
      <c r="R326" s="9"/>
      <c r="S326" s="11"/>
    </row>
    <row r="327" spans="1:19" ht="15.75">
      <c r="A327" s="13">
        <v>51104</v>
      </c>
      <c r="B327" s="8">
        <f>CHOOSE( CONTROL!$C$33, 10.3555, 10.3544) * CHOOSE(CONTROL!$C$16, $D$11, 100%, $F$11)</f>
        <v>10.355499999999999</v>
      </c>
      <c r="C327" s="8">
        <f>CHOOSE( CONTROL!$C$33, 10.3606, 10.3595) * CHOOSE(CONTROL!$C$16, $D$11, 100%, $F$11)</f>
        <v>10.3606</v>
      </c>
      <c r="D327" s="8">
        <f>CHOOSE( CONTROL!$C$33, 10.351, 10.3499) * CHOOSE( CONTROL!$C$16, $D$11, 100%, $F$11)</f>
        <v>10.351000000000001</v>
      </c>
      <c r="E327" s="12">
        <f>CHOOSE( CONTROL!$C$33, 10.354, 10.3529) * CHOOSE( CONTROL!$C$16, $D$11, 100%, $F$11)</f>
        <v>10.353999999999999</v>
      </c>
      <c r="F327" s="4">
        <f>CHOOSE( CONTROL!$C$33, 11.0157, 11.0146) * CHOOSE(CONTROL!$C$16, $D$11, 100%, $F$11)</f>
        <v>11.015700000000001</v>
      </c>
      <c r="G327" s="8">
        <f>CHOOSE( CONTROL!$C$33, 10.2522, 10.2511) * CHOOSE( CONTROL!$C$16, $D$11, 100%, $F$11)</f>
        <v>10.2522</v>
      </c>
      <c r="H327" s="4">
        <f>CHOOSE( CONTROL!$C$33, 11.1333, 11.1322) * CHOOSE(CONTROL!$C$16, $D$11, 100%, $F$11)</f>
        <v>11.1333</v>
      </c>
      <c r="I327" s="8">
        <f>CHOOSE( CONTROL!$C$33, 10.232, 10.2309) * CHOOSE(CONTROL!$C$16, $D$11, 100%, $F$11)</f>
        <v>10.231999999999999</v>
      </c>
      <c r="J327" s="4">
        <f>CHOOSE( CONTROL!$C$33, 10.0413, 10.0402) * CHOOSE(CONTROL!$C$16, $D$11, 100%, $F$11)</f>
        <v>10.0413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29.406600000000001</v>
      </c>
      <c r="R327" s="9"/>
      <c r="S327" s="11"/>
    </row>
    <row r="328" spans="1:19" ht="15.75">
      <c r="A328" s="13">
        <v>51135</v>
      </c>
      <c r="B328" s="8">
        <f>CHOOSE( CONTROL!$C$33, 10.3367, 10.3356) * CHOOSE(CONTROL!$C$16, $D$11, 100%, $F$11)</f>
        <v>10.3367</v>
      </c>
      <c r="C328" s="8">
        <f>CHOOSE( CONTROL!$C$33, 10.3418, 10.3407) * CHOOSE(CONTROL!$C$16, $D$11, 100%, $F$11)</f>
        <v>10.341799999999999</v>
      </c>
      <c r="D328" s="8">
        <f>CHOOSE( CONTROL!$C$33, 10.3336, 10.3325) * CHOOSE( CONTROL!$C$16, $D$11, 100%, $F$11)</f>
        <v>10.333600000000001</v>
      </c>
      <c r="E328" s="12">
        <f>CHOOSE( CONTROL!$C$33, 10.3361, 10.335) * CHOOSE( CONTROL!$C$16, $D$11, 100%, $F$11)</f>
        <v>10.3361</v>
      </c>
      <c r="F328" s="4">
        <f>CHOOSE( CONTROL!$C$33, 10.9968, 10.9958) * CHOOSE(CONTROL!$C$16, $D$11, 100%, $F$11)</f>
        <v>10.9968</v>
      </c>
      <c r="G328" s="8">
        <f>CHOOSE( CONTROL!$C$33, 10.2346, 10.2335) * CHOOSE( CONTROL!$C$16, $D$11, 100%, $F$11)</f>
        <v>10.2346</v>
      </c>
      <c r="H328" s="4">
        <f>CHOOSE( CONTROL!$C$33, 11.1147, 11.1136) * CHOOSE(CONTROL!$C$16, $D$11, 100%, $F$11)</f>
        <v>11.114699999999999</v>
      </c>
      <c r="I328" s="8">
        <f>CHOOSE( CONTROL!$C$33, 10.2182, 10.2171) * CHOOSE(CONTROL!$C$16, $D$11, 100%, $F$11)</f>
        <v>10.2182</v>
      </c>
      <c r="J328" s="4">
        <f>CHOOSE( CONTROL!$C$33, 10.023, 10.022) * CHOOSE(CONTROL!$C$16, $D$11, 100%, $F$11)</f>
        <v>10.023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30.386800000000001</v>
      </c>
      <c r="R328" s="9"/>
      <c r="S328" s="11"/>
    </row>
    <row r="329" spans="1:19" ht="15.75">
      <c r="A329" s="13">
        <v>51166</v>
      </c>
      <c r="B329" s="8">
        <f>CHOOSE( CONTROL!$C$33, 10.6413, 10.6402) * CHOOSE(CONTROL!$C$16, $D$11, 100%, $F$11)</f>
        <v>10.641299999999999</v>
      </c>
      <c r="C329" s="8">
        <f>CHOOSE( CONTROL!$C$33, 10.6464, 10.6453) * CHOOSE(CONTROL!$C$16, $D$11, 100%, $F$11)</f>
        <v>10.6464</v>
      </c>
      <c r="D329" s="8">
        <f>CHOOSE( CONTROL!$C$33, 10.649, 10.6479) * CHOOSE( CONTROL!$C$16, $D$11, 100%, $F$11)</f>
        <v>10.648999999999999</v>
      </c>
      <c r="E329" s="12">
        <f>CHOOSE( CONTROL!$C$33, 10.6475, 10.6464) * CHOOSE( CONTROL!$C$16, $D$11, 100%, $F$11)</f>
        <v>10.647500000000001</v>
      </c>
      <c r="F329" s="4">
        <f>CHOOSE( CONTROL!$C$33, 11.3014, 11.3004) * CHOOSE(CONTROL!$C$16, $D$11, 100%, $F$11)</f>
        <v>11.301399999999999</v>
      </c>
      <c r="G329" s="8">
        <f>CHOOSE( CONTROL!$C$33, 10.5385, 10.5374) * CHOOSE( CONTROL!$C$16, $D$11, 100%, $F$11)</f>
        <v>10.538500000000001</v>
      </c>
      <c r="H329" s="4">
        <f>CHOOSE( CONTROL!$C$33, 11.4157, 11.4147) * CHOOSE(CONTROL!$C$16, $D$11, 100%, $F$11)</f>
        <v>11.415699999999999</v>
      </c>
      <c r="I329" s="8">
        <f>CHOOSE( CONTROL!$C$33, 10.4854, 10.4843) * CHOOSE(CONTROL!$C$16, $D$11, 100%, $F$11)</f>
        <v>10.4854</v>
      </c>
      <c r="J329" s="4">
        <f>CHOOSE( CONTROL!$C$33, 10.3186, 10.3176) * CHOOSE(CONTROL!$C$16, $D$11, 100%, $F$11)</f>
        <v>10.3186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30.3217</v>
      </c>
      <c r="R329" s="9"/>
      <c r="S329" s="11"/>
    </row>
    <row r="330" spans="1:19" ht="15.75">
      <c r="A330" s="13">
        <v>51194</v>
      </c>
      <c r="B330" s="8">
        <f>CHOOSE( CONTROL!$C$33, 9.954, 9.9529) * CHOOSE(CONTROL!$C$16, $D$11, 100%, $F$11)</f>
        <v>9.9540000000000006</v>
      </c>
      <c r="C330" s="8">
        <f>CHOOSE( CONTROL!$C$33, 9.9591, 9.958) * CHOOSE(CONTROL!$C$16, $D$11, 100%, $F$11)</f>
        <v>9.9590999999999994</v>
      </c>
      <c r="D330" s="8">
        <f>CHOOSE( CONTROL!$C$33, 9.9617, 9.9606) * CHOOSE( CONTROL!$C$16, $D$11, 100%, $F$11)</f>
        <v>9.9617000000000004</v>
      </c>
      <c r="E330" s="12">
        <f>CHOOSE( CONTROL!$C$33, 9.9602, 9.9591) * CHOOSE( CONTROL!$C$16, $D$11, 100%, $F$11)</f>
        <v>9.9602000000000004</v>
      </c>
      <c r="F330" s="4">
        <f>CHOOSE( CONTROL!$C$33, 10.6142, 10.6131) * CHOOSE(CONTROL!$C$16, $D$11, 100%, $F$11)</f>
        <v>10.6142</v>
      </c>
      <c r="G330" s="8">
        <f>CHOOSE( CONTROL!$C$33, 9.8592, 9.8581) * CHOOSE( CONTROL!$C$16, $D$11, 100%, $F$11)</f>
        <v>9.8591999999999995</v>
      </c>
      <c r="H330" s="4">
        <f>CHOOSE( CONTROL!$C$33, 10.7365, 10.7354) * CHOOSE(CONTROL!$C$16, $D$11, 100%, $F$11)</f>
        <v>10.736499999999999</v>
      </c>
      <c r="I330" s="8">
        <f>CHOOSE( CONTROL!$C$33, 9.8178, 9.8167) * CHOOSE(CONTROL!$C$16, $D$11, 100%, $F$11)</f>
        <v>9.8178000000000001</v>
      </c>
      <c r="J330" s="4">
        <f>CHOOSE( CONTROL!$C$33, 9.6516, 9.6506) * CHOOSE(CONTROL!$C$16, $D$11, 100%, $F$11)</f>
        <v>9.6516000000000002</v>
      </c>
      <c r="K330" s="4"/>
      <c r="L330" s="9">
        <v>27.415299999999998</v>
      </c>
      <c r="M330" s="9">
        <v>11.285299999999999</v>
      </c>
      <c r="N330" s="9">
        <v>4.6254999999999997</v>
      </c>
      <c r="O330" s="9">
        <v>0.34989999999999999</v>
      </c>
      <c r="P330" s="9">
        <v>1.2093</v>
      </c>
      <c r="Q330" s="9">
        <v>28.365500000000001</v>
      </c>
      <c r="R330" s="9"/>
      <c r="S330" s="11"/>
    </row>
    <row r="331" spans="1:19" ht="15.75">
      <c r="A331" s="13">
        <v>51226</v>
      </c>
      <c r="B331" s="8">
        <f>CHOOSE( CONTROL!$C$33, 9.7423, 9.7413) * CHOOSE(CONTROL!$C$16, $D$11, 100%, $F$11)</f>
        <v>9.7423000000000002</v>
      </c>
      <c r="C331" s="8">
        <f>CHOOSE( CONTROL!$C$33, 9.7474, 9.7463) * CHOOSE(CONTROL!$C$16, $D$11, 100%, $F$11)</f>
        <v>9.7474000000000007</v>
      </c>
      <c r="D331" s="8">
        <f>CHOOSE( CONTROL!$C$33, 9.7493, 9.7482) * CHOOSE( CONTROL!$C$16, $D$11, 100%, $F$11)</f>
        <v>9.7492999999999999</v>
      </c>
      <c r="E331" s="12">
        <f>CHOOSE( CONTROL!$C$33, 9.7481, 9.747) * CHOOSE( CONTROL!$C$16, $D$11, 100%, $F$11)</f>
        <v>9.7481000000000009</v>
      </c>
      <c r="F331" s="4">
        <f>CHOOSE( CONTROL!$C$33, 10.4025, 10.4014) * CHOOSE(CONTROL!$C$16, $D$11, 100%, $F$11)</f>
        <v>10.4025</v>
      </c>
      <c r="G331" s="8">
        <f>CHOOSE( CONTROL!$C$33, 9.6495, 9.6484) * CHOOSE( CONTROL!$C$16, $D$11, 100%, $F$11)</f>
        <v>9.6494999999999997</v>
      </c>
      <c r="H331" s="4">
        <f>CHOOSE( CONTROL!$C$33, 10.5273, 10.5262) * CHOOSE(CONTROL!$C$16, $D$11, 100%, $F$11)</f>
        <v>10.5273</v>
      </c>
      <c r="I331" s="8">
        <f>CHOOSE( CONTROL!$C$33, 9.6101, 9.6091) * CHOOSE(CONTROL!$C$16, $D$11, 100%, $F$11)</f>
        <v>9.6100999999999992</v>
      </c>
      <c r="J331" s="4">
        <f>CHOOSE( CONTROL!$C$33, 9.4462, 9.4451) * CHOOSE(CONTROL!$C$16, $D$11, 100%, $F$11)</f>
        <v>9.4461999999999993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30.3217</v>
      </c>
      <c r="R331" s="9"/>
      <c r="S331" s="11"/>
    </row>
    <row r="332" spans="1:19" ht="15.75">
      <c r="A332" s="13">
        <v>51256</v>
      </c>
      <c r="B332" s="8">
        <f>CHOOSE( CONTROL!$C$33, 9.891, 9.8899) * CHOOSE(CONTROL!$C$16, $D$11, 100%, $F$11)</f>
        <v>9.891</v>
      </c>
      <c r="C332" s="8">
        <f>CHOOSE( CONTROL!$C$33, 9.8955, 9.8944) * CHOOSE(CONTROL!$C$16, $D$11, 100%, $F$11)</f>
        <v>9.8955000000000002</v>
      </c>
      <c r="D332" s="8">
        <f>CHOOSE( CONTROL!$C$33, 9.9199, 9.9188) * CHOOSE( CONTROL!$C$16, $D$11, 100%, $F$11)</f>
        <v>9.9199000000000002</v>
      </c>
      <c r="E332" s="12">
        <f>CHOOSE( CONTROL!$C$33, 9.9113, 9.9102) * CHOOSE( CONTROL!$C$16, $D$11, 100%, $F$11)</f>
        <v>9.9113000000000007</v>
      </c>
      <c r="F332" s="4">
        <f>CHOOSE( CONTROL!$C$33, 10.6199, 10.6189) * CHOOSE(CONTROL!$C$16, $D$11, 100%, $F$11)</f>
        <v>10.619899999999999</v>
      </c>
      <c r="G332" s="8">
        <f>CHOOSE( CONTROL!$C$33, 9.8054, 9.8043) * CHOOSE( CONTROL!$C$16, $D$11, 100%, $F$11)</f>
        <v>9.8054000000000006</v>
      </c>
      <c r="H332" s="4">
        <f>CHOOSE( CONTROL!$C$33, 10.7422, 10.7411) * CHOOSE(CONTROL!$C$16, $D$11, 100%, $F$11)</f>
        <v>10.7422</v>
      </c>
      <c r="I332" s="8">
        <f>CHOOSE( CONTROL!$C$33, 9.719, 9.7179) * CHOOSE(CONTROL!$C$16, $D$11, 100%, $F$11)</f>
        <v>9.7189999999999994</v>
      </c>
      <c r="J332" s="4">
        <f>CHOOSE( CONTROL!$C$33, 9.5897, 9.5887) * CHOOSE(CONTROL!$C$16, $D$11, 100%, $F$11)</f>
        <v>9.5897000000000006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1.2509999999999999</v>
      </c>
      <c r="Q332" s="9">
        <v>29.343599999999999</v>
      </c>
      <c r="R332" s="9"/>
      <c r="S332" s="11"/>
    </row>
    <row r="333" spans="1:19" ht="15.75">
      <c r="A333" s="13">
        <v>51287</v>
      </c>
      <c r="B333" s="8">
        <f>CHOOSE( CONTROL!$C$33, 10.1562, 10.1546) * CHOOSE(CONTROL!$C$16, $D$11, 100%, $F$11)</f>
        <v>10.1562</v>
      </c>
      <c r="C333" s="8">
        <f>CHOOSE( CONTROL!$C$33, 10.1642, 10.1625) * CHOOSE(CONTROL!$C$16, $D$11, 100%, $F$11)</f>
        <v>10.164199999999999</v>
      </c>
      <c r="D333" s="8">
        <f>CHOOSE( CONTROL!$C$33, 10.1825, 10.1808) * CHOOSE( CONTROL!$C$16, $D$11, 100%, $F$11)</f>
        <v>10.182499999999999</v>
      </c>
      <c r="E333" s="12">
        <f>CHOOSE( CONTROL!$C$33, 10.1746, 10.173) * CHOOSE( CONTROL!$C$16, $D$11, 100%, $F$11)</f>
        <v>10.1746</v>
      </c>
      <c r="F333" s="4">
        <f>CHOOSE( CONTROL!$C$33, 10.8838, 10.8821) * CHOOSE(CONTROL!$C$16, $D$11, 100%, $F$11)</f>
        <v>10.883800000000001</v>
      </c>
      <c r="G333" s="8">
        <f>CHOOSE( CONTROL!$C$33, 10.066, 10.0644) * CHOOSE( CONTROL!$C$16, $D$11, 100%, $F$11)</f>
        <v>10.066000000000001</v>
      </c>
      <c r="H333" s="4">
        <f>CHOOSE( CONTROL!$C$33, 11.003, 11.0013) * CHOOSE(CONTROL!$C$16, $D$11, 100%, $F$11)</f>
        <v>11.003</v>
      </c>
      <c r="I333" s="8">
        <f>CHOOSE( CONTROL!$C$33, 9.9746, 9.973) * CHOOSE(CONTROL!$C$16, $D$11, 100%, $F$11)</f>
        <v>9.9746000000000006</v>
      </c>
      <c r="J333" s="4">
        <f>CHOOSE( CONTROL!$C$33, 9.8458, 9.8442) * CHOOSE(CONTROL!$C$16, $D$11, 100%, $F$11)</f>
        <v>9.8458000000000006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1.2927</v>
      </c>
      <c r="Q333" s="9">
        <v>30.3217</v>
      </c>
      <c r="R333" s="9"/>
      <c r="S333" s="11"/>
    </row>
    <row r="334" spans="1:19" ht="15.75">
      <c r="A334" s="13">
        <v>51317</v>
      </c>
      <c r="B334" s="8">
        <f>CHOOSE( CONTROL!$C$33, 9.9931, 9.9915) * CHOOSE(CONTROL!$C$16, $D$11, 100%, $F$11)</f>
        <v>9.9931000000000001</v>
      </c>
      <c r="C334" s="8">
        <f>CHOOSE( CONTROL!$C$33, 10.0011, 9.9995) * CHOOSE(CONTROL!$C$16, $D$11, 100%, $F$11)</f>
        <v>10.001099999999999</v>
      </c>
      <c r="D334" s="8">
        <f>CHOOSE( CONTROL!$C$33, 10.0197, 10.018) * CHOOSE( CONTROL!$C$16, $D$11, 100%, $F$11)</f>
        <v>10.0197</v>
      </c>
      <c r="E334" s="12">
        <f>CHOOSE( CONTROL!$C$33, 10.0117, 10.0101) * CHOOSE( CONTROL!$C$16, $D$11, 100%, $F$11)</f>
        <v>10.011699999999999</v>
      </c>
      <c r="F334" s="4">
        <f>CHOOSE( CONTROL!$C$33, 10.7207, 10.719) * CHOOSE(CONTROL!$C$16, $D$11, 100%, $F$11)</f>
        <v>10.720700000000001</v>
      </c>
      <c r="G334" s="8">
        <f>CHOOSE( CONTROL!$C$33, 9.905, 9.9034) * CHOOSE( CONTROL!$C$16, $D$11, 100%, $F$11)</f>
        <v>9.9049999999999994</v>
      </c>
      <c r="H334" s="4">
        <f>CHOOSE( CONTROL!$C$33, 10.8418, 10.8402) * CHOOSE(CONTROL!$C$16, $D$11, 100%, $F$11)</f>
        <v>10.841799999999999</v>
      </c>
      <c r="I334" s="8">
        <f>CHOOSE( CONTROL!$C$33, 9.8171, 9.8154) * CHOOSE(CONTROL!$C$16, $D$11, 100%, $F$11)</f>
        <v>9.8170999999999999</v>
      </c>
      <c r="J334" s="4">
        <f>CHOOSE( CONTROL!$C$33, 9.6875, 9.6859) * CHOOSE(CONTROL!$C$16, $D$11, 100%, $F$11)</f>
        <v>9.6875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1.2509999999999999</v>
      </c>
      <c r="Q334" s="9">
        <v>29.343599999999999</v>
      </c>
      <c r="R334" s="9"/>
      <c r="S334" s="11"/>
    </row>
    <row r="335" spans="1:19" ht="15.75">
      <c r="A335" s="13">
        <v>51348</v>
      </c>
      <c r="B335" s="8">
        <f>CHOOSE( CONTROL!$C$33, 10.4226, 10.4209) * CHOOSE(CONTROL!$C$16, $D$11, 100%, $F$11)</f>
        <v>10.422599999999999</v>
      </c>
      <c r="C335" s="8">
        <f>CHOOSE( CONTROL!$C$33, 10.4306, 10.4289) * CHOOSE(CONTROL!$C$16, $D$11, 100%, $F$11)</f>
        <v>10.4306</v>
      </c>
      <c r="D335" s="8">
        <f>CHOOSE( CONTROL!$C$33, 10.4494, 10.4477) * CHOOSE( CONTROL!$C$16, $D$11, 100%, $F$11)</f>
        <v>10.449400000000001</v>
      </c>
      <c r="E335" s="12">
        <f>CHOOSE( CONTROL!$C$33, 10.4414, 10.4397) * CHOOSE( CONTROL!$C$16, $D$11, 100%, $F$11)</f>
        <v>10.4414</v>
      </c>
      <c r="F335" s="4">
        <f>CHOOSE( CONTROL!$C$33, 11.1502, 11.1485) * CHOOSE(CONTROL!$C$16, $D$11, 100%, $F$11)</f>
        <v>11.1502</v>
      </c>
      <c r="G335" s="8">
        <f>CHOOSE( CONTROL!$C$33, 10.3296, 10.328) * CHOOSE( CONTROL!$C$16, $D$11, 100%, $F$11)</f>
        <v>10.329599999999999</v>
      </c>
      <c r="H335" s="4">
        <f>CHOOSE( CONTROL!$C$33, 11.2662, 11.2646) * CHOOSE(CONTROL!$C$16, $D$11, 100%, $F$11)</f>
        <v>11.2662</v>
      </c>
      <c r="I335" s="8">
        <f>CHOOSE( CONTROL!$C$33, 10.2349, 10.2333) * CHOOSE(CONTROL!$C$16, $D$11, 100%, $F$11)</f>
        <v>10.2349</v>
      </c>
      <c r="J335" s="4">
        <f>CHOOSE( CONTROL!$C$33, 10.1043, 10.1027) * CHOOSE(CONTROL!$C$16, $D$11, 100%, $F$11)</f>
        <v>10.1043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1.2927</v>
      </c>
      <c r="Q335" s="9">
        <v>30.3217</v>
      </c>
      <c r="R335" s="9"/>
      <c r="S335" s="11"/>
    </row>
    <row r="336" spans="1:19" ht="15.75">
      <c r="A336" s="13">
        <v>51379</v>
      </c>
      <c r="B336" s="8">
        <f>CHOOSE( CONTROL!$C$33, 9.619, 9.6174) * CHOOSE(CONTROL!$C$16, $D$11, 100%, $F$11)</f>
        <v>9.6189999999999998</v>
      </c>
      <c r="C336" s="8">
        <f>CHOOSE( CONTROL!$C$33, 9.627, 9.6254) * CHOOSE(CONTROL!$C$16, $D$11, 100%, $F$11)</f>
        <v>9.6270000000000007</v>
      </c>
      <c r="D336" s="8">
        <f>CHOOSE( CONTROL!$C$33, 9.6459, 9.6442) * CHOOSE( CONTROL!$C$16, $D$11, 100%, $F$11)</f>
        <v>9.6458999999999993</v>
      </c>
      <c r="E336" s="12">
        <f>CHOOSE( CONTROL!$C$33, 9.6378, 9.6362) * CHOOSE( CONTROL!$C$16, $D$11, 100%, $F$11)</f>
        <v>9.6378000000000004</v>
      </c>
      <c r="F336" s="4">
        <f>CHOOSE( CONTROL!$C$33, 10.3466, 10.3449) * CHOOSE(CONTROL!$C$16, $D$11, 100%, $F$11)</f>
        <v>10.3466</v>
      </c>
      <c r="G336" s="8">
        <f>CHOOSE( CONTROL!$C$33, 9.5356, 9.5339) * CHOOSE( CONTROL!$C$16, $D$11, 100%, $F$11)</f>
        <v>9.5356000000000005</v>
      </c>
      <c r="H336" s="4">
        <f>CHOOSE( CONTROL!$C$33, 10.4721, 10.4704) * CHOOSE(CONTROL!$C$16, $D$11, 100%, $F$11)</f>
        <v>10.472099999999999</v>
      </c>
      <c r="I336" s="8">
        <f>CHOOSE( CONTROL!$C$33, 9.4549, 9.4533) * CHOOSE(CONTROL!$C$16, $D$11, 100%, $F$11)</f>
        <v>9.4549000000000003</v>
      </c>
      <c r="J336" s="4">
        <f>CHOOSE( CONTROL!$C$33, 9.3245, 9.3229) * CHOOSE(CONTROL!$C$16, $D$11, 100%, $F$11)</f>
        <v>9.3245000000000005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1.2927</v>
      </c>
      <c r="Q336" s="9">
        <v>30.3217</v>
      </c>
      <c r="R336" s="9"/>
      <c r="S336" s="11"/>
    </row>
    <row r="337" spans="1:19" ht="15.75">
      <c r="A337" s="13">
        <v>51409</v>
      </c>
      <c r="B337" s="8">
        <f>CHOOSE( CONTROL!$C$33, 9.4178, 9.4162) * CHOOSE(CONTROL!$C$16, $D$11, 100%, $F$11)</f>
        <v>9.4177999999999997</v>
      </c>
      <c r="C337" s="8">
        <f>CHOOSE( CONTROL!$C$33, 9.4258, 9.4241) * CHOOSE(CONTROL!$C$16, $D$11, 100%, $F$11)</f>
        <v>9.4258000000000006</v>
      </c>
      <c r="D337" s="8">
        <f>CHOOSE( CONTROL!$C$33, 9.4446, 9.4429) * CHOOSE( CONTROL!$C$16, $D$11, 100%, $F$11)</f>
        <v>9.4445999999999994</v>
      </c>
      <c r="E337" s="12">
        <f>CHOOSE( CONTROL!$C$33, 9.4366, 9.4349) * CHOOSE( CONTROL!$C$16, $D$11, 100%, $F$11)</f>
        <v>9.4366000000000003</v>
      </c>
      <c r="F337" s="4">
        <f>CHOOSE( CONTROL!$C$33, 10.1454, 10.1437) * CHOOSE(CONTROL!$C$16, $D$11, 100%, $F$11)</f>
        <v>10.1454</v>
      </c>
      <c r="G337" s="8">
        <f>CHOOSE( CONTROL!$C$33, 9.3366, 9.335) * CHOOSE( CONTROL!$C$16, $D$11, 100%, $F$11)</f>
        <v>9.3366000000000007</v>
      </c>
      <c r="H337" s="4">
        <f>CHOOSE( CONTROL!$C$33, 10.2732, 10.2716) * CHOOSE(CONTROL!$C$16, $D$11, 100%, $F$11)</f>
        <v>10.273199999999999</v>
      </c>
      <c r="I337" s="8">
        <f>CHOOSE( CONTROL!$C$33, 9.2592, 9.2576) * CHOOSE(CONTROL!$C$16, $D$11, 100%, $F$11)</f>
        <v>9.2591999999999999</v>
      </c>
      <c r="J337" s="4">
        <f>CHOOSE( CONTROL!$C$33, 9.1292, 9.1276) * CHOOSE(CONTROL!$C$16, $D$11, 100%, $F$11)</f>
        <v>9.1292000000000009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1.2509999999999999</v>
      </c>
      <c r="Q337" s="9">
        <v>29.343599999999999</v>
      </c>
      <c r="R337" s="9"/>
      <c r="S337" s="11"/>
    </row>
    <row r="338" spans="1:19" ht="15.75">
      <c r="A338" s="13">
        <v>51440</v>
      </c>
      <c r="B338" s="8">
        <f>CHOOSE( CONTROL!$C$33, 9.8333, 9.8322) * CHOOSE(CONTROL!$C$16, $D$11, 100%, $F$11)</f>
        <v>9.8332999999999995</v>
      </c>
      <c r="C338" s="8">
        <f>CHOOSE( CONTROL!$C$33, 9.8387, 9.8376) * CHOOSE(CONTROL!$C$16, $D$11, 100%, $F$11)</f>
        <v>9.8386999999999993</v>
      </c>
      <c r="D338" s="8">
        <f>CHOOSE( CONTROL!$C$33, 9.8631, 9.862) * CHOOSE( CONTROL!$C$16, $D$11, 100%, $F$11)</f>
        <v>9.8630999999999993</v>
      </c>
      <c r="E338" s="12">
        <f>CHOOSE( CONTROL!$C$33, 9.8545, 9.8534) * CHOOSE( CONTROL!$C$16, $D$11, 100%, $F$11)</f>
        <v>9.8544999999999998</v>
      </c>
      <c r="F338" s="4">
        <f>CHOOSE( CONTROL!$C$33, 10.5626, 10.5615) * CHOOSE(CONTROL!$C$16, $D$11, 100%, $F$11)</f>
        <v>10.5626</v>
      </c>
      <c r="G338" s="8">
        <f>CHOOSE( CONTROL!$C$33, 9.7491, 9.748) * CHOOSE( CONTROL!$C$16, $D$11, 100%, $F$11)</f>
        <v>9.7491000000000003</v>
      </c>
      <c r="H338" s="4">
        <f>CHOOSE( CONTROL!$C$33, 10.6855, 10.6845) * CHOOSE(CONTROL!$C$16, $D$11, 100%, $F$11)</f>
        <v>10.685499999999999</v>
      </c>
      <c r="I338" s="8">
        <f>CHOOSE( CONTROL!$C$33, 9.6652, 9.6641) * CHOOSE(CONTROL!$C$16, $D$11, 100%, $F$11)</f>
        <v>9.6652000000000005</v>
      </c>
      <c r="J338" s="4">
        <f>CHOOSE( CONTROL!$C$33, 9.5341, 9.533) * CHOOSE(CONTROL!$C$16, $D$11, 100%, $F$11)</f>
        <v>9.5341000000000005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1.2927</v>
      </c>
      <c r="Q338" s="9">
        <v>30.3217</v>
      </c>
      <c r="R338" s="9"/>
      <c r="S338" s="11"/>
    </row>
    <row r="339" spans="1:19" ht="15.75">
      <c r="A339" s="13">
        <v>51470</v>
      </c>
      <c r="B339" s="8">
        <f>CHOOSE( CONTROL!$C$33, 10.6041, 10.603) * CHOOSE(CONTROL!$C$16, $D$11, 100%, $F$11)</f>
        <v>10.604100000000001</v>
      </c>
      <c r="C339" s="8">
        <f>CHOOSE( CONTROL!$C$33, 10.6092, 10.6081) * CHOOSE(CONTROL!$C$16, $D$11, 100%, $F$11)</f>
        <v>10.6092</v>
      </c>
      <c r="D339" s="8">
        <f>CHOOSE( CONTROL!$C$33, 10.5996, 10.5985) * CHOOSE( CONTROL!$C$16, $D$11, 100%, $F$11)</f>
        <v>10.599600000000001</v>
      </c>
      <c r="E339" s="12">
        <f>CHOOSE( CONTROL!$C$33, 10.6026, 10.6015) * CHOOSE( CONTROL!$C$16, $D$11, 100%, $F$11)</f>
        <v>10.602600000000001</v>
      </c>
      <c r="F339" s="4">
        <f>CHOOSE( CONTROL!$C$33, 11.2642, 11.2631) * CHOOSE(CONTROL!$C$16, $D$11, 100%, $F$11)</f>
        <v>11.264200000000001</v>
      </c>
      <c r="G339" s="8">
        <f>CHOOSE( CONTROL!$C$33, 10.4978, 10.4968) * CHOOSE( CONTROL!$C$16, $D$11, 100%, $F$11)</f>
        <v>10.4978</v>
      </c>
      <c r="H339" s="4">
        <f>CHOOSE( CONTROL!$C$33, 11.379, 11.3779) * CHOOSE(CONTROL!$C$16, $D$11, 100%, $F$11)</f>
        <v>11.379</v>
      </c>
      <c r="I339" s="8">
        <f>CHOOSE( CONTROL!$C$33, 10.4733, 10.4723) * CHOOSE(CONTROL!$C$16, $D$11, 100%, $F$11)</f>
        <v>10.4733</v>
      </c>
      <c r="J339" s="4">
        <f>CHOOSE( CONTROL!$C$33, 10.2825, 10.2815) * CHOOSE(CONTROL!$C$16, $D$11, 100%, $F$11)</f>
        <v>10.282500000000001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29.343599999999999</v>
      </c>
      <c r="R339" s="9"/>
      <c r="S339" s="11"/>
    </row>
    <row r="340" spans="1:19" ht="15.75">
      <c r="A340" s="13">
        <v>51501</v>
      </c>
      <c r="B340" s="8">
        <f>CHOOSE( CONTROL!$C$33, 10.5848, 10.5837) * CHOOSE(CONTROL!$C$16, $D$11, 100%, $F$11)</f>
        <v>10.5848</v>
      </c>
      <c r="C340" s="8">
        <f>CHOOSE( CONTROL!$C$33, 10.5899, 10.5888) * CHOOSE(CONTROL!$C$16, $D$11, 100%, $F$11)</f>
        <v>10.5899</v>
      </c>
      <c r="D340" s="8">
        <f>CHOOSE( CONTROL!$C$33, 10.5817, 10.5806) * CHOOSE( CONTROL!$C$16, $D$11, 100%, $F$11)</f>
        <v>10.5817</v>
      </c>
      <c r="E340" s="12">
        <f>CHOOSE( CONTROL!$C$33, 10.5842, 10.5831) * CHOOSE( CONTROL!$C$16, $D$11, 100%, $F$11)</f>
        <v>10.584199999999999</v>
      </c>
      <c r="F340" s="4">
        <f>CHOOSE( CONTROL!$C$33, 11.245, 11.2439) * CHOOSE(CONTROL!$C$16, $D$11, 100%, $F$11)</f>
        <v>11.244999999999999</v>
      </c>
      <c r="G340" s="8">
        <f>CHOOSE( CONTROL!$C$33, 10.4798, 10.4787) * CHOOSE( CONTROL!$C$16, $D$11, 100%, $F$11)</f>
        <v>10.479799999999999</v>
      </c>
      <c r="H340" s="4">
        <f>CHOOSE( CONTROL!$C$33, 11.3599, 11.3588) * CHOOSE(CONTROL!$C$16, $D$11, 100%, $F$11)</f>
        <v>11.3599</v>
      </c>
      <c r="I340" s="8">
        <f>CHOOSE( CONTROL!$C$33, 10.4591, 10.458) * CHOOSE(CONTROL!$C$16, $D$11, 100%, $F$11)</f>
        <v>10.459099999999999</v>
      </c>
      <c r="J340" s="4">
        <f>CHOOSE( CONTROL!$C$33, 10.2638, 10.2628) * CHOOSE(CONTROL!$C$16, $D$11, 100%, $F$11)</f>
        <v>10.2638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30.3217</v>
      </c>
      <c r="R340" s="9"/>
      <c r="S340" s="11"/>
    </row>
    <row r="341" spans="1:19" ht="15.75">
      <c r="A341" s="13">
        <v>51532</v>
      </c>
      <c r="B341" s="8">
        <f>CHOOSE( CONTROL!$C$33, 10.8968, 10.8957) * CHOOSE(CONTROL!$C$16, $D$11, 100%, $F$11)</f>
        <v>10.896800000000001</v>
      </c>
      <c r="C341" s="8">
        <f>CHOOSE( CONTROL!$C$33, 10.9018, 10.9007) * CHOOSE(CONTROL!$C$16, $D$11, 100%, $F$11)</f>
        <v>10.9018</v>
      </c>
      <c r="D341" s="8">
        <f>CHOOSE( CONTROL!$C$33, 10.9045, 10.9034) * CHOOSE( CONTROL!$C$16, $D$11, 100%, $F$11)</f>
        <v>10.904500000000001</v>
      </c>
      <c r="E341" s="12">
        <f>CHOOSE( CONTROL!$C$33, 10.903, 10.9019) * CHOOSE( CONTROL!$C$16, $D$11, 100%, $F$11)</f>
        <v>10.903</v>
      </c>
      <c r="F341" s="4">
        <f>CHOOSE( CONTROL!$C$33, 11.5569, 11.5558) * CHOOSE(CONTROL!$C$16, $D$11, 100%, $F$11)</f>
        <v>11.556900000000001</v>
      </c>
      <c r="G341" s="8">
        <f>CHOOSE( CONTROL!$C$33, 10.7909, 10.7898) * CHOOSE( CONTROL!$C$16, $D$11, 100%, $F$11)</f>
        <v>10.790900000000001</v>
      </c>
      <c r="H341" s="4">
        <f>CHOOSE( CONTROL!$C$33, 11.6682, 11.6671) * CHOOSE(CONTROL!$C$16, $D$11, 100%, $F$11)</f>
        <v>11.668200000000001</v>
      </c>
      <c r="I341" s="8">
        <f>CHOOSE( CONTROL!$C$33, 10.7334, 10.7324) * CHOOSE(CONTROL!$C$16, $D$11, 100%, $F$11)</f>
        <v>10.7334</v>
      </c>
      <c r="J341" s="4">
        <f>CHOOSE( CONTROL!$C$33, 10.5665, 10.5655) * CHOOSE(CONTROL!$C$16, $D$11, 100%, $F$11)</f>
        <v>10.5665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30.258500000000002</v>
      </c>
      <c r="R341" s="9"/>
      <c r="S341" s="11"/>
    </row>
    <row r="342" spans="1:19" ht="15.75">
      <c r="A342" s="13">
        <v>51560</v>
      </c>
      <c r="B342" s="8">
        <f>CHOOSE( CONTROL!$C$33, 10.1929, 10.1919) * CHOOSE(CONTROL!$C$16, $D$11, 100%, $F$11)</f>
        <v>10.1929</v>
      </c>
      <c r="C342" s="8">
        <f>CHOOSE( CONTROL!$C$33, 10.198, 10.1969) * CHOOSE(CONTROL!$C$16, $D$11, 100%, $F$11)</f>
        <v>10.198</v>
      </c>
      <c r="D342" s="8">
        <f>CHOOSE( CONTROL!$C$33, 10.2006, 10.1995) * CHOOSE( CONTROL!$C$16, $D$11, 100%, $F$11)</f>
        <v>10.2006</v>
      </c>
      <c r="E342" s="12">
        <f>CHOOSE( CONTROL!$C$33, 10.1991, 10.198) * CHOOSE( CONTROL!$C$16, $D$11, 100%, $F$11)</f>
        <v>10.1991</v>
      </c>
      <c r="F342" s="4">
        <f>CHOOSE( CONTROL!$C$33, 10.8531, 10.852) * CHOOSE(CONTROL!$C$16, $D$11, 100%, $F$11)</f>
        <v>10.8531</v>
      </c>
      <c r="G342" s="8">
        <f>CHOOSE( CONTROL!$C$33, 10.0953, 10.0942) * CHOOSE( CONTROL!$C$16, $D$11, 100%, $F$11)</f>
        <v>10.0953</v>
      </c>
      <c r="H342" s="4">
        <f>CHOOSE( CONTROL!$C$33, 10.9726, 10.9716) * CHOOSE(CONTROL!$C$16, $D$11, 100%, $F$11)</f>
        <v>10.9726</v>
      </c>
      <c r="I342" s="8">
        <f>CHOOSE( CONTROL!$C$33, 10.0498, 10.0487) * CHOOSE(CONTROL!$C$16, $D$11, 100%, $F$11)</f>
        <v>10.049799999999999</v>
      </c>
      <c r="J342" s="4">
        <f>CHOOSE( CONTROL!$C$33, 9.8835, 9.8825) * CHOOSE(CONTROL!$C$16, $D$11, 100%, $F$11)</f>
        <v>9.8834999999999997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27.330200000000001</v>
      </c>
      <c r="R342" s="9"/>
      <c r="S342" s="11"/>
    </row>
    <row r="343" spans="1:19" ht="15.75">
      <c r="A343" s="13">
        <v>51591</v>
      </c>
      <c r="B343" s="8">
        <f>CHOOSE( CONTROL!$C$33, 9.9762, 9.9751) * CHOOSE(CONTROL!$C$16, $D$11, 100%, $F$11)</f>
        <v>9.9762000000000004</v>
      </c>
      <c r="C343" s="8">
        <f>CHOOSE( CONTROL!$C$33, 9.9813, 9.9802) * CHOOSE(CONTROL!$C$16, $D$11, 100%, $F$11)</f>
        <v>9.9812999999999992</v>
      </c>
      <c r="D343" s="8">
        <f>CHOOSE( CONTROL!$C$33, 9.9831, 9.982) * CHOOSE( CONTROL!$C$16, $D$11, 100%, $F$11)</f>
        <v>9.9831000000000003</v>
      </c>
      <c r="E343" s="12">
        <f>CHOOSE( CONTROL!$C$33, 9.9819, 9.9808) * CHOOSE( CONTROL!$C$16, $D$11, 100%, $F$11)</f>
        <v>9.9818999999999996</v>
      </c>
      <c r="F343" s="4">
        <f>CHOOSE( CONTROL!$C$33, 10.6363, 10.6352) * CHOOSE(CONTROL!$C$16, $D$11, 100%, $F$11)</f>
        <v>10.6363</v>
      </c>
      <c r="G343" s="8">
        <f>CHOOSE( CONTROL!$C$33, 9.8806, 9.8795) * CHOOSE( CONTROL!$C$16, $D$11, 100%, $F$11)</f>
        <v>9.8805999999999994</v>
      </c>
      <c r="H343" s="4">
        <f>CHOOSE( CONTROL!$C$33, 10.7584, 10.7573) * CHOOSE(CONTROL!$C$16, $D$11, 100%, $F$11)</f>
        <v>10.7584</v>
      </c>
      <c r="I343" s="8">
        <f>CHOOSE( CONTROL!$C$33, 9.8372, 9.8361) * CHOOSE(CONTROL!$C$16, $D$11, 100%, $F$11)</f>
        <v>9.8371999999999993</v>
      </c>
      <c r="J343" s="4">
        <f>CHOOSE( CONTROL!$C$33, 9.6731, 9.6721) * CHOOSE(CONTROL!$C$16, $D$11, 100%, $F$11)</f>
        <v>9.6730999999999998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30.258500000000002</v>
      </c>
      <c r="R343" s="9"/>
      <c r="S343" s="11"/>
    </row>
    <row r="344" spans="1:19" ht="15.75">
      <c r="A344" s="13">
        <v>51621</v>
      </c>
      <c r="B344" s="8">
        <f>CHOOSE( CONTROL!$C$33, 10.1284, 10.1273) * CHOOSE(CONTROL!$C$16, $D$11, 100%, $F$11)</f>
        <v>10.128399999999999</v>
      </c>
      <c r="C344" s="8">
        <f>CHOOSE( CONTROL!$C$33, 10.1329, 10.1318) * CHOOSE(CONTROL!$C$16, $D$11, 100%, $F$11)</f>
        <v>10.132899999999999</v>
      </c>
      <c r="D344" s="8">
        <f>CHOOSE( CONTROL!$C$33, 10.1573, 10.1562) * CHOOSE( CONTROL!$C$16, $D$11, 100%, $F$11)</f>
        <v>10.157299999999999</v>
      </c>
      <c r="E344" s="12">
        <f>CHOOSE( CONTROL!$C$33, 10.1487, 10.1476) * CHOOSE( CONTROL!$C$16, $D$11, 100%, $F$11)</f>
        <v>10.1487</v>
      </c>
      <c r="F344" s="4">
        <f>CHOOSE( CONTROL!$C$33, 10.8573, 10.8563) * CHOOSE(CONTROL!$C$16, $D$11, 100%, $F$11)</f>
        <v>10.8573</v>
      </c>
      <c r="G344" s="8">
        <f>CHOOSE( CONTROL!$C$33, 10.04, 10.0389) * CHOOSE( CONTROL!$C$16, $D$11, 100%, $F$11)</f>
        <v>10.039999999999999</v>
      </c>
      <c r="H344" s="4">
        <f>CHOOSE( CONTROL!$C$33, 10.9768, 10.9758) * CHOOSE(CONTROL!$C$16, $D$11, 100%, $F$11)</f>
        <v>10.976800000000001</v>
      </c>
      <c r="I344" s="8">
        <f>CHOOSE( CONTROL!$C$33, 9.9495, 9.9484) * CHOOSE(CONTROL!$C$16, $D$11, 100%, $F$11)</f>
        <v>9.9495000000000005</v>
      </c>
      <c r="J344" s="4">
        <f>CHOOSE( CONTROL!$C$33, 9.8201, 9.8191) * CHOOSE(CONTROL!$C$16, $D$11, 100%, $F$11)</f>
        <v>9.8201000000000001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1.2509999999999999</v>
      </c>
      <c r="Q344" s="9">
        <v>29.282399999999999</v>
      </c>
      <c r="R344" s="9"/>
      <c r="S344" s="11"/>
    </row>
    <row r="345" spans="1:19" ht="15.75">
      <c r="A345" s="13">
        <v>51652</v>
      </c>
      <c r="B345" s="8">
        <f>CHOOSE( CONTROL!$C$33, 10.3999, 10.3983) * CHOOSE(CONTROL!$C$16, $D$11, 100%, $F$11)</f>
        <v>10.399900000000001</v>
      </c>
      <c r="C345" s="8">
        <f>CHOOSE( CONTROL!$C$33, 10.4079, 10.4063) * CHOOSE(CONTROL!$C$16, $D$11, 100%, $F$11)</f>
        <v>10.4079</v>
      </c>
      <c r="D345" s="8">
        <f>CHOOSE( CONTROL!$C$33, 10.4262, 10.4246) * CHOOSE( CONTROL!$C$16, $D$11, 100%, $F$11)</f>
        <v>10.4262</v>
      </c>
      <c r="E345" s="12">
        <f>CHOOSE( CONTROL!$C$33, 10.4183, 10.4167) * CHOOSE( CONTROL!$C$16, $D$11, 100%, $F$11)</f>
        <v>10.4183</v>
      </c>
      <c r="F345" s="4">
        <f>CHOOSE( CONTROL!$C$33, 11.1275, 11.1258) * CHOOSE(CONTROL!$C$16, $D$11, 100%, $F$11)</f>
        <v>11.1275</v>
      </c>
      <c r="G345" s="8">
        <f>CHOOSE( CONTROL!$C$33, 10.3069, 10.3052) * CHOOSE( CONTROL!$C$16, $D$11, 100%, $F$11)</f>
        <v>10.306900000000001</v>
      </c>
      <c r="H345" s="4">
        <f>CHOOSE( CONTROL!$C$33, 11.2438, 11.2422) * CHOOSE(CONTROL!$C$16, $D$11, 100%, $F$11)</f>
        <v>11.2438</v>
      </c>
      <c r="I345" s="8">
        <f>CHOOSE( CONTROL!$C$33, 10.2112, 10.2096) * CHOOSE(CONTROL!$C$16, $D$11, 100%, $F$11)</f>
        <v>10.2112</v>
      </c>
      <c r="J345" s="4">
        <f>CHOOSE( CONTROL!$C$33, 10.0823, 10.0807) * CHOOSE(CONTROL!$C$16, $D$11, 100%, $F$11)</f>
        <v>10.0823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1.2927</v>
      </c>
      <c r="Q345" s="9">
        <v>30.258500000000002</v>
      </c>
      <c r="R345" s="9"/>
      <c r="S345" s="11"/>
    </row>
    <row r="346" spans="1:19" ht="15.75">
      <c r="A346" s="13">
        <v>51682</v>
      </c>
      <c r="B346" s="8">
        <f>CHOOSE( CONTROL!$C$33, 10.2329, 10.2313) * CHOOSE(CONTROL!$C$16, $D$11, 100%, $F$11)</f>
        <v>10.232900000000001</v>
      </c>
      <c r="C346" s="8">
        <f>CHOOSE( CONTROL!$C$33, 10.2409, 10.2393) * CHOOSE(CONTROL!$C$16, $D$11, 100%, $F$11)</f>
        <v>10.2409</v>
      </c>
      <c r="D346" s="8">
        <f>CHOOSE( CONTROL!$C$33, 10.2595, 10.2578) * CHOOSE( CONTROL!$C$16, $D$11, 100%, $F$11)</f>
        <v>10.259499999999999</v>
      </c>
      <c r="E346" s="12">
        <f>CHOOSE( CONTROL!$C$33, 10.2515, 10.2499) * CHOOSE( CONTROL!$C$16, $D$11, 100%, $F$11)</f>
        <v>10.2515</v>
      </c>
      <c r="F346" s="4">
        <f>CHOOSE( CONTROL!$C$33, 10.9605, 10.9588) * CHOOSE(CONTROL!$C$16, $D$11, 100%, $F$11)</f>
        <v>10.9605</v>
      </c>
      <c r="G346" s="8">
        <f>CHOOSE( CONTROL!$C$33, 10.142, 10.1404) * CHOOSE( CONTROL!$C$16, $D$11, 100%, $F$11)</f>
        <v>10.141999999999999</v>
      </c>
      <c r="H346" s="4">
        <f>CHOOSE( CONTROL!$C$33, 11.0788, 11.0771) * CHOOSE(CONTROL!$C$16, $D$11, 100%, $F$11)</f>
        <v>11.078799999999999</v>
      </c>
      <c r="I346" s="8">
        <f>CHOOSE( CONTROL!$C$33, 10.0499, 10.0483) * CHOOSE(CONTROL!$C$16, $D$11, 100%, $F$11)</f>
        <v>10.049899999999999</v>
      </c>
      <c r="J346" s="4">
        <f>CHOOSE( CONTROL!$C$33, 9.9203, 9.9186) * CHOOSE(CONTROL!$C$16, $D$11, 100%, $F$11)</f>
        <v>9.9202999999999992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1.2509999999999999</v>
      </c>
      <c r="Q346" s="9">
        <v>29.282399999999999</v>
      </c>
      <c r="R346" s="9"/>
      <c r="S346" s="11"/>
    </row>
    <row r="347" spans="1:19" ht="15.75">
      <c r="A347" s="13">
        <v>51713</v>
      </c>
      <c r="B347" s="8">
        <f>CHOOSE( CONTROL!$C$33, 10.6727, 10.6711) * CHOOSE(CONTROL!$C$16, $D$11, 100%, $F$11)</f>
        <v>10.672700000000001</v>
      </c>
      <c r="C347" s="8">
        <f>CHOOSE( CONTROL!$C$33, 10.6807, 10.679) * CHOOSE(CONTROL!$C$16, $D$11, 100%, $F$11)</f>
        <v>10.6807</v>
      </c>
      <c r="D347" s="8">
        <f>CHOOSE( CONTROL!$C$33, 10.6995, 10.6978) * CHOOSE( CONTROL!$C$16, $D$11, 100%, $F$11)</f>
        <v>10.6995</v>
      </c>
      <c r="E347" s="12">
        <f>CHOOSE( CONTROL!$C$33, 10.6915, 10.6898) * CHOOSE( CONTROL!$C$16, $D$11, 100%, $F$11)</f>
        <v>10.6915</v>
      </c>
      <c r="F347" s="4">
        <f>CHOOSE( CONTROL!$C$33, 11.4003, 11.3986) * CHOOSE(CONTROL!$C$16, $D$11, 100%, $F$11)</f>
        <v>11.4003</v>
      </c>
      <c r="G347" s="8">
        <f>CHOOSE( CONTROL!$C$33, 10.5768, 10.5752) * CHOOSE( CONTROL!$C$16, $D$11, 100%, $F$11)</f>
        <v>10.5768</v>
      </c>
      <c r="H347" s="4">
        <f>CHOOSE( CONTROL!$C$33, 11.5134, 11.5118) * CHOOSE(CONTROL!$C$16, $D$11, 100%, $F$11)</f>
        <v>11.513400000000001</v>
      </c>
      <c r="I347" s="8">
        <f>CHOOSE( CONTROL!$C$33, 10.4778, 10.4762) * CHOOSE(CONTROL!$C$16, $D$11, 100%, $F$11)</f>
        <v>10.4778</v>
      </c>
      <c r="J347" s="4">
        <f>CHOOSE( CONTROL!$C$33, 10.3471, 10.3454) * CHOOSE(CONTROL!$C$16, $D$11, 100%, $F$11)</f>
        <v>10.347099999999999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1.2927</v>
      </c>
      <c r="Q347" s="9">
        <v>30.258500000000002</v>
      </c>
      <c r="R347" s="9"/>
      <c r="S347" s="11"/>
    </row>
    <row r="348" spans="1:19" ht="15.75">
      <c r="A348" s="13">
        <v>51744</v>
      </c>
      <c r="B348" s="8">
        <f>CHOOSE( CONTROL!$C$33, 9.8499, 9.8482) * CHOOSE(CONTROL!$C$16, $D$11, 100%, $F$11)</f>
        <v>9.8498999999999999</v>
      </c>
      <c r="C348" s="8">
        <f>CHOOSE( CONTROL!$C$33, 9.8578, 9.8562) * CHOOSE(CONTROL!$C$16, $D$11, 100%, $F$11)</f>
        <v>9.8577999999999992</v>
      </c>
      <c r="D348" s="8">
        <f>CHOOSE( CONTROL!$C$33, 9.8767, 9.875) * CHOOSE( CONTROL!$C$16, $D$11, 100%, $F$11)</f>
        <v>9.8766999999999996</v>
      </c>
      <c r="E348" s="12">
        <f>CHOOSE( CONTROL!$C$33, 9.8686, 9.867) * CHOOSE( CONTROL!$C$16, $D$11, 100%, $F$11)</f>
        <v>9.8686000000000007</v>
      </c>
      <c r="F348" s="4">
        <f>CHOOSE( CONTROL!$C$33, 10.5774, 10.5757) * CHOOSE(CONTROL!$C$16, $D$11, 100%, $F$11)</f>
        <v>10.577400000000001</v>
      </c>
      <c r="G348" s="8">
        <f>CHOOSE( CONTROL!$C$33, 9.7637, 9.762) * CHOOSE( CONTROL!$C$16, $D$11, 100%, $F$11)</f>
        <v>9.7637</v>
      </c>
      <c r="H348" s="4">
        <f>CHOOSE( CONTROL!$C$33, 10.7002, 10.6985) * CHOOSE(CONTROL!$C$16, $D$11, 100%, $F$11)</f>
        <v>10.700200000000001</v>
      </c>
      <c r="I348" s="8">
        <f>CHOOSE( CONTROL!$C$33, 9.679, 9.6774) * CHOOSE(CONTROL!$C$16, $D$11, 100%, $F$11)</f>
        <v>9.6790000000000003</v>
      </c>
      <c r="J348" s="4">
        <f>CHOOSE( CONTROL!$C$33, 9.5485, 9.5469) * CHOOSE(CONTROL!$C$16, $D$11, 100%, $F$11)</f>
        <v>9.5485000000000007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1.2927</v>
      </c>
      <c r="Q348" s="9">
        <v>30.258500000000002</v>
      </c>
      <c r="R348" s="9"/>
      <c r="S348" s="11"/>
    </row>
    <row r="349" spans="1:19" ht="15.75">
      <c r="A349" s="13">
        <v>51774</v>
      </c>
      <c r="B349" s="8">
        <f>CHOOSE( CONTROL!$C$33, 9.6438, 9.6421) * CHOOSE(CONTROL!$C$16, $D$11, 100%, $F$11)</f>
        <v>9.6438000000000006</v>
      </c>
      <c r="C349" s="8">
        <f>CHOOSE( CONTROL!$C$33, 9.6518, 9.6501) * CHOOSE(CONTROL!$C$16, $D$11, 100%, $F$11)</f>
        <v>9.6517999999999997</v>
      </c>
      <c r="D349" s="8">
        <f>CHOOSE( CONTROL!$C$33, 9.6705, 9.6689) * CHOOSE( CONTROL!$C$16, $D$11, 100%, $F$11)</f>
        <v>9.6705000000000005</v>
      </c>
      <c r="E349" s="12">
        <f>CHOOSE( CONTROL!$C$33, 9.6625, 9.6609) * CHOOSE( CONTROL!$C$16, $D$11, 100%, $F$11)</f>
        <v>9.6624999999999996</v>
      </c>
      <c r="F349" s="4">
        <f>CHOOSE( CONTROL!$C$33, 10.3713, 10.3697) * CHOOSE(CONTROL!$C$16, $D$11, 100%, $F$11)</f>
        <v>10.3713</v>
      </c>
      <c r="G349" s="8">
        <f>CHOOSE( CONTROL!$C$33, 9.5599, 9.5583) * CHOOSE( CONTROL!$C$16, $D$11, 100%, $F$11)</f>
        <v>9.5599000000000007</v>
      </c>
      <c r="H349" s="4">
        <f>CHOOSE( CONTROL!$C$33, 10.4965, 10.4949) * CHOOSE(CONTROL!$C$16, $D$11, 100%, $F$11)</f>
        <v>10.496499999999999</v>
      </c>
      <c r="I349" s="8">
        <f>CHOOSE( CONTROL!$C$33, 9.4786, 9.477) * CHOOSE(CONTROL!$C$16, $D$11, 100%, $F$11)</f>
        <v>9.4786000000000001</v>
      </c>
      <c r="J349" s="4">
        <f>CHOOSE( CONTROL!$C$33, 9.3485, 9.3469) * CHOOSE(CONTROL!$C$16, $D$11, 100%, $F$11)</f>
        <v>9.3484999999999996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1.2509999999999999</v>
      </c>
      <c r="Q349" s="9">
        <v>29.282399999999999</v>
      </c>
      <c r="R349" s="9"/>
      <c r="S349" s="11"/>
    </row>
    <row r="350" spans="1:19" ht="15.75">
      <c r="A350" s="13">
        <v>51805</v>
      </c>
      <c r="B350" s="8">
        <f>CHOOSE( CONTROL!$C$33, 10.0693, 10.0683) * CHOOSE(CONTROL!$C$16, $D$11, 100%, $F$11)</f>
        <v>10.0693</v>
      </c>
      <c r="C350" s="8">
        <f>CHOOSE( CONTROL!$C$33, 10.0747, 10.0736) * CHOOSE(CONTROL!$C$16, $D$11, 100%, $F$11)</f>
        <v>10.0747</v>
      </c>
      <c r="D350" s="8">
        <f>CHOOSE( CONTROL!$C$33, 10.0991, 10.098) * CHOOSE( CONTROL!$C$16, $D$11, 100%, $F$11)</f>
        <v>10.0991</v>
      </c>
      <c r="E350" s="12">
        <f>CHOOSE( CONTROL!$C$33, 10.0905, 10.0894) * CHOOSE( CONTROL!$C$16, $D$11, 100%, $F$11)</f>
        <v>10.0905</v>
      </c>
      <c r="F350" s="4">
        <f>CHOOSE( CONTROL!$C$33, 10.7986, 10.7975) * CHOOSE(CONTROL!$C$16, $D$11, 100%, $F$11)</f>
        <v>10.7986</v>
      </c>
      <c r="G350" s="8">
        <f>CHOOSE( CONTROL!$C$33, 9.9824, 9.9813) * CHOOSE( CONTROL!$C$16, $D$11, 100%, $F$11)</f>
        <v>9.9824000000000002</v>
      </c>
      <c r="H350" s="4">
        <f>CHOOSE( CONTROL!$C$33, 10.9188, 10.9177) * CHOOSE(CONTROL!$C$16, $D$11, 100%, $F$11)</f>
        <v>10.918799999999999</v>
      </c>
      <c r="I350" s="8">
        <f>CHOOSE( CONTROL!$C$33, 9.8944, 9.8933) * CHOOSE(CONTROL!$C$16, $D$11, 100%, $F$11)</f>
        <v>9.8943999999999992</v>
      </c>
      <c r="J350" s="4">
        <f>CHOOSE( CONTROL!$C$33, 9.7632, 9.7621) * CHOOSE(CONTROL!$C$16, $D$11, 100%, $F$11)</f>
        <v>9.7631999999999994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1.2927</v>
      </c>
      <c r="Q350" s="9">
        <v>30.258500000000002</v>
      </c>
      <c r="R350" s="9"/>
      <c r="S350" s="11"/>
    </row>
    <row r="351" spans="1:19" ht="15.75">
      <c r="A351" s="13">
        <v>51835</v>
      </c>
      <c r="B351" s="8">
        <f>CHOOSE( CONTROL!$C$33, 10.8586, 10.8576) * CHOOSE(CONTROL!$C$16, $D$11, 100%, $F$11)</f>
        <v>10.858599999999999</v>
      </c>
      <c r="C351" s="8">
        <f>CHOOSE( CONTROL!$C$33, 10.8637, 10.8626) * CHOOSE(CONTROL!$C$16, $D$11, 100%, $F$11)</f>
        <v>10.8637</v>
      </c>
      <c r="D351" s="8">
        <f>CHOOSE( CONTROL!$C$33, 10.8541, 10.853) * CHOOSE( CONTROL!$C$16, $D$11, 100%, $F$11)</f>
        <v>10.854100000000001</v>
      </c>
      <c r="E351" s="12">
        <f>CHOOSE( CONTROL!$C$33, 10.8571, 10.856) * CHOOSE( CONTROL!$C$16, $D$11, 100%, $F$11)</f>
        <v>10.857100000000001</v>
      </c>
      <c r="F351" s="4">
        <f>CHOOSE( CONTROL!$C$33, 11.5188, 11.5177) * CHOOSE(CONTROL!$C$16, $D$11, 100%, $F$11)</f>
        <v>11.518800000000001</v>
      </c>
      <c r="G351" s="8">
        <f>CHOOSE( CONTROL!$C$33, 10.7494, 10.7483) * CHOOSE( CONTROL!$C$16, $D$11, 100%, $F$11)</f>
        <v>10.7494</v>
      </c>
      <c r="H351" s="4">
        <f>CHOOSE( CONTROL!$C$33, 11.6305, 11.6295) * CHOOSE(CONTROL!$C$16, $D$11, 100%, $F$11)</f>
        <v>11.6305</v>
      </c>
      <c r="I351" s="8">
        <f>CHOOSE( CONTROL!$C$33, 10.7205, 10.7195) * CHOOSE(CONTROL!$C$16, $D$11, 100%, $F$11)</f>
        <v>10.720499999999999</v>
      </c>
      <c r="J351" s="4">
        <f>CHOOSE( CONTROL!$C$33, 10.5296, 10.5285) * CHOOSE(CONTROL!$C$16, $D$11, 100%, $F$11)</f>
        <v>10.5296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29.282399999999999</v>
      </c>
      <c r="R351" s="9"/>
      <c r="S351" s="11"/>
    </row>
    <row r="352" spans="1:19" ht="15.75">
      <c r="A352" s="13">
        <v>51866</v>
      </c>
      <c r="B352" s="8">
        <f>CHOOSE( CONTROL!$C$33, 10.8389, 10.8378) * CHOOSE(CONTROL!$C$16, $D$11, 100%, $F$11)</f>
        <v>10.838900000000001</v>
      </c>
      <c r="C352" s="8">
        <f>CHOOSE( CONTROL!$C$33, 10.844, 10.8429) * CHOOSE(CONTROL!$C$16, $D$11, 100%, $F$11)</f>
        <v>10.843999999999999</v>
      </c>
      <c r="D352" s="8">
        <f>CHOOSE( CONTROL!$C$33, 10.8358, 10.8347) * CHOOSE( CONTROL!$C$16, $D$11, 100%, $F$11)</f>
        <v>10.835800000000001</v>
      </c>
      <c r="E352" s="12">
        <f>CHOOSE( CONTROL!$C$33, 10.8383, 10.8372) * CHOOSE( CONTROL!$C$16, $D$11, 100%, $F$11)</f>
        <v>10.8383</v>
      </c>
      <c r="F352" s="4">
        <f>CHOOSE( CONTROL!$C$33, 11.499, 11.498) * CHOOSE(CONTROL!$C$16, $D$11, 100%, $F$11)</f>
        <v>11.499000000000001</v>
      </c>
      <c r="G352" s="8">
        <f>CHOOSE( CONTROL!$C$33, 10.7309, 10.7298) * CHOOSE( CONTROL!$C$16, $D$11, 100%, $F$11)</f>
        <v>10.7309</v>
      </c>
      <c r="H352" s="4">
        <f>CHOOSE( CONTROL!$C$33, 11.611, 11.61) * CHOOSE(CONTROL!$C$16, $D$11, 100%, $F$11)</f>
        <v>11.611000000000001</v>
      </c>
      <c r="I352" s="8">
        <f>CHOOSE( CONTROL!$C$33, 10.7058, 10.7047) * CHOOSE(CONTROL!$C$16, $D$11, 100%, $F$11)</f>
        <v>10.7058</v>
      </c>
      <c r="J352" s="4">
        <f>CHOOSE( CONTROL!$C$33, 10.5104, 10.5094) * CHOOSE(CONTROL!$C$16, $D$11, 100%, $F$11)</f>
        <v>10.510400000000001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30.258500000000002</v>
      </c>
      <c r="R352" s="9"/>
      <c r="S352" s="11"/>
    </row>
    <row r="353" spans="1:19" ht="15.75">
      <c r="A353" s="13">
        <v>51897</v>
      </c>
      <c r="B353" s="8">
        <f>CHOOSE( CONTROL!$C$33, 11.1583, 11.1572) * CHOOSE(CONTROL!$C$16, $D$11, 100%, $F$11)</f>
        <v>11.158300000000001</v>
      </c>
      <c r="C353" s="8">
        <f>CHOOSE( CONTROL!$C$33, 11.1634, 11.1623) * CHOOSE(CONTROL!$C$16, $D$11, 100%, $F$11)</f>
        <v>11.163399999999999</v>
      </c>
      <c r="D353" s="8">
        <f>CHOOSE( CONTROL!$C$33, 11.166, 11.165) * CHOOSE( CONTROL!$C$16, $D$11, 100%, $F$11)</f>
        <v>11.166</v>
      </c>
      <c r="E353" s="12">
        <f>CHOOSE( CONTROL!$C$33, 11.1645, 11.1635) * CHOOSE( CONTROL!$C$16, $D$11, 100%, $F$11)</f>
        <v>11.1645</v>
      </c>
      <c r="F353" s="4">
        <f>CHOOSE( CONTROL!$C$33, 11.8185, 11.8174) * CHOOSE(CONTROL!$C$16, $D$11, 100%, $F$11)</f>
        <v>11.8185</v>
      </c>
      <c r="G353" s="8">
        <f>CHOOSE( CONTROL!$C$33, 11.0494, 11.0484) * CHOOSE( CONTROL!$C$16, $D$11, 100%, $F$11)</f>
        <v>11.0494</v>
      </c>
      <c r="H353" s="4">
        <f>CHOOSE( CONTROL!$C$33, 11.9267, 11.9256) * CHOOSE(CONTROL!$C$16, $D$11, 100%, $F$11)</f>
        <v>11.9267</v>
      </c>
      <c r="I353" s="8">
        <f>CHOOSE( CONTROL!$C$33, 10.9874, 10.9864) * CHOOSE(CONTROL!$C$16, $D$11, 100%, $F$11)</f>
        <v>10.987399999999999</v>
      </c>
      <c r="J353" s="4">
        <f>CHOOSE( CONTROL!$C$33, 10.8204, 10.8194) * CHOOSE(CONTROL!$C$16, $D$11, 100%, $F$11)</f>
        <v>10.820399999999999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20.593900000000001</v>
      </c>
      <c r="R353" s="9"/>
      <c r="S353" s="11"/>
    </row>
    <row r="354" spans="1:19" ht="15.75">
      <c r="A354" s="13">
        <v>51925</v>
      </c>
      <c r="B354" s="8">
        <f>CHOOSE( CONTROL!$C$33, 10.4376, 10.4365) * CHOOSE(CONTROL!$C$16, $D$11, 100%, $F$11)</f>
        <v>10.4376</v>
      </c>
      <c r="C354" s="8">
        <f>CHOOSE( CONTROL!$C$33, 10.4427, 10.4416) * CHOOSE(CONTROL!$C$16, $D$11, 100%, $F$11)</f>
        <v>10.4427</v>
      </c>
      <c r="D354" s="8">
        <f>CHOOSE( CONTROL!$C$33, 10.4453, 10.4442) * CHOOSE( CONTROL!$C$16, $D$11, 100%, $F$11)</f>
        <v>10.4453</v>
      </c>
      <c r="E354" s="12">
        <f>CHOOSE( CONTROL!$C$33, 10.4438, 10.4427) * CHOOSE( CONTROL!$C$16, $D$11, 100%, $F$11)</f>
        <v>10.4438</v>
      </c>
      <c r="F354" s="4">
        <f>CHOOSE( CONTROL!$C$33, 11.0977, 11.0967) * CHOOSE(CONTROL!$C$16, $D$11, 100%, $F$11)</f>
        <v>11.0977</v>
      </c>
      <c r="G354" s="8">
        <f>CHOOSE( CONTROL!$C$33, 10.3371, 10.336) * CHOOSE( CONTROL!$C$16, $D$11, 100%, $F$11)</f>
        <v>10.3371</v>
      </c>
      <c r="H354" s="4">
        <f>CHOOSE( CONTROL!$C$33, 11.2144, 11.2134) * CHOOSE(CONTROL!$C$16, $D$11, 100%, $F$11)</f>
        <v>11.214399999999999</v>
      </c>
      <c r="I354" s="8">
        <f>CHOOSE( CONTROL!$C$33, 10.2874, 10.2863) * CHOOSE(CONTROL!$C$16, $D$11, 100%, $F$11)</f>
        <v>10.2874</v>
      </c>
      <c r="J354" s="4">
        <f>CHOOSE( CONTROL!$C$33, 10.121, 10.1199) * CHOOSE(CONTROL!$C$16, $D$11, 100%, $F$11)</f>
        <v>10.121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18.600999999999999</v>
      </c>
      <c r="R354" s="9"/>
      <c r="S354" s="11"/>
    </row>
    <row r="355" spans="1:19" ht="15.75">
      <c r="A355" s="13">
        <v>51956</v>
      </c>
      <c r="B355" s="8">
        <f>CHOOSE( CONTROL!$C$33, 10.2156, 10.2146) * CHOOSE(CONTROL!$C$16, $D$11, 100%, $F$11)</f>
        <v>10.2156</v>
      </c>
      <c r="C355" s="8">
        <f>CHOOSE( CONTROL!$C$33, 10.2207, 10.2196) * CHOOSE(CONTROL!$C$16, $D$11, 100%, $F$11)</f>
        <v>10.220700000000001</v>
      </c>
      <c r="D355" s="8">
        <f>CHOOSE( CONTROL!$C$33, 10.2226, 10.2215) * CHOOSE( CONTROL!$C$16, $D$11, 100%, $F$11)</f>
        <v>10.2226</v>
      </c>
      <c r="E355" s="12">
        <f>CHOOSE( CONTROL!$C$33, 10.2214, 10.2203) * CHOOSE( CONTROL!$C$16, $D$11, 100%, $F$11)</f>
        <v>10.221399999999999</v>
      </c>
      <c r="F355" s="4">
        <f>CHOOSE( CONTROL!$C$33, 10.8758, 10.8747) * CHOOSE(CONTROL!$C$16, $D$11, 100%, $F$11)</f>
        <v>10.8758</v>
      </c>
      <c r="G355" s="8">
        <f>CHOOSE( CONTROL!$C$33, 10.1172, 10.1161) * CHOOSE( CONTROL!$C$16, $D$11, 100%, $F$11)</f>
        <v>10.1172</v>
      </c>
      <c r="H355" s="4">
        <f>CHOOSE( CONTROL!$C$33, 10.995, 10.994) * CHOOSE(CONTROL!$C$16, $D$11, 100%, $F$11)</f>
        <v>10.994999999999999</v>
      </c>
      <c r="I355" s="8">
        <f>CHOOSE( CONTROL!$C$33, 10.0697, 10.0686) * CHOOSE(CONTROL!$C$16, $D$11, 100%, $F$11)</f>
        <v>10.069699999999999</v>
      </c>
      <c r="J355" s="4">
        <f>CHOOSE( CONTROL!$C$33, 9.9055, 9.9045) * CHOOSE(CONTROL!$C$16, $D$11, 100%, $F$11)</f>
        <v>9.9055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20.593900000000001</v>
      </c>
      <c r="R355" s="9"/>
      <c r="S355" s="11"/>
    </row>
    <row r="356" spans="1:19" ht="15.75">
      <c r="A356" s="13">
        <v>51986</v>
      </c>
      <c r="B356" s="8">
        <f>CHOOSE( CONTROL!$C$33, 10.3715, 10.3704) * CHOOSE(CONTROL!$C$16, $D$11, 100%, $F$11)</f>
        <v>10.371499999999999</v>
      </c>
      <c r="C356" s="8">
        <f>CHOOSE( CONTROL!$C$33, 10.376, 10.3749) * CHOOSE(CONTROL!$C$16, $D$11, 100%, $F$11)</f>
        <v>10.375999999999999</v>
      </c>
      <c r="D356" s="8">
        <f>CHOOSE( CONTROL!$C$33, 10.4004, 10.3993) * CHOOSE( CONTROL!$C$16, $D$11, 100%, $F$11)</f>
        <v>10.400399999999999</v>
      </c>
      <c r="E356" s="12">
        <f>CHOOSE( CONTROL!$C$33, 10.3918, 10.3907) * CHOOSE( CONTROL!$C$16, $D$11, 100%, $F$11)</f>
        <v>10.3918</v>
      </c>
      <c r="F356" s="4">
        <f>CHOOSE( CONTROL!$C$33, 11.1004, 11.0994) * CHOOSE(CONTROL!$C$16, $D$11, 100%, $F$11)</f>
        <v>11.1004</v>
      </c>
      <c r="G356" s="8">
        <f>CHOOSE( CONTROL!$C$33, 10.2802, 10.2792) * CHOOSE( CONTROL!$C$16, $D$11, 100%, $F$11)</f>
        <v>10.280200000000001</v>
      </c>
      <c r="H356" s="4">
        <f>CHOOSE( CONTROL!$C$33, 11.2171, 11.216) * CHOOSE(CONTROL!$C$16, $D$11, 100%, $F$11)</f>
        <v>11.2171</v>
      </c>
      <c r="I356" s="8">
        <f>CHOOSE( CONTROL!$C$33, 10.1855, 10.1845) * CHOOSE(CONTROL!$C$16, $D$11, 100%, $F$11)</f>
        <v>10.185499999999999</v>
      </c>
      <c r="J356" s="4">
        <f>CHOOSE( CONTROL!$C$33, 10.0561, 10.055) * CHOOSE(CONTROL!$C$16, $D$11, 100%, $F$11)</f>
        <v>10.056100000000001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1.2509999999999999</v>
      </c>
      <c r="Q356" s="9">
        <v>19.929600000000001</v>
      </c>
      <c r="R356" s="9"/>
      <c r="S356" s="11"/>
    </row>
    <row r="357" spans="1:19" ht="15.75">
      <c r="A357" s="13">
        <v>52017</v>
      </c>
      <c r="B357" s="8">
        <f>CHOOSE( CONTROL!$C$33, 10.6495, 10.6479) * CHOOSE(CONTROL!$C$16, $D$11, 100%, $F$11)</f>
        <v>10.6495</v>
      </c>
      <c r="C357" s="8">
        <f>CHOOSE( CONTROL!$C$33, 10.6575, 10.6558) * CHOOSE(CONTROL!$C$16, $D$11, 100%, $F$11)</f>
        <v>10.657500000000001</v>
      </c>
      <c r="D357" s="8">
        <f>CHOOSE( CONTROL!$C$33, 10.6758, 10.6741) * CHOOSE( CONTROL!$C$16, $D$11, 100%, $F$11)</f>
        <v>10.675800000000001</v>
      </c>
      <c r="E357" s="12">
        <f>CHOOSE( CONTROL!$C$33, 10.6679, 10.6663) * CHOOSE( CONTROL!$C$16, $D$11, 100%, $F$11)</f>
        <v>10.667899999999999</v>
      </c>
      <c r="F357" s="4">
        <f>CHOOSE( CONTROL!$C$33, 11.3771, 11.3754) * CHOOSE(CONTROL!$C$16, $D$11, 100%, $F$11)</f>
        <v>11.3771</v>
      </c>
      <c r="G357" s="8">
        <f>CHOOSE( CONTROL!$C$33, 10.5535, 10.5519) * CHOOSE( CONTROL!$C$16, $D$11, 100%, $F$11)</f>
        <v>10.5535</v>
      </c>
      <c r="H357" s="4">
        <f>CHOOSE( CONTROL!$C$33, 11.4905, 11.4888) * CHOOSE(CONTROL!$C$16, $D$11, 100%, $F$11)</f>
        <v>11.490500000000001</v>
      </c>
      <c r="I357" s="8">
        <f>CHOOSE( CONTROL!$C$33, 10.4536, 10.4519) * CHOOSE(CONTROL!$C$16, $D$11, 100%, $F$11)</f>
        <v>10.4536</v>
      </c>
      <c r="J357" s="4">
        <f>CHOOSE( CONTROL!$C$33, 10.3245, 10.3229) * CHOOSE(CONTROL!$C$16, $D$11, 100%, $F$11)</f>
        <v>10.3245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1.2927</v>
      </c>
      <c r="Q357" s="9">
        <v>20.593900000000001</v>
      </c>
      <c r="R357" s="9"/>
      <c r="S357" s="11"/>
    </row>
    <row r="358" spans="1:19" ht="15.75">
      <c r="A358" s="13">
        <v>52047</v>
      </c>
      <c r="B358" s="8">
        <f>CHOOSE( CONTROL!$C$33, 10.4785, 10.4769) * CHOOSE(CONTROL!$C$16, $D$11, 100%, $F$11)</f>
        <v>10.4785</v>
      </c>
      <c r="C358" s="8">
        <f>CHOOSE( CONTROL!$C$33, 10.4865, 10.4848) * CHOOSE(CONTROL!$C$16, $D$11, 100%, $F$11)</f>
        <v>10.486499999999999</v>
      </c>
      <c r="D358" s="8">
        <f>CHOOSE( CONTROL!$C$33, 10.505, 10.5034) * CHOOSE( CONTROL!$C$16, $D$11, 100%, $F$11)</f>
        <v>10.505000000000001</v>
      </c>
      <c r="E358" s="12">
        <f>CHOOSE( CONTROL!$C$33, 10.4971, 10.4955) * CHOOSE( CONTROL!$C$16, $D$11, 100%, $F$11)</f>
        <v>10.4971</v>
      </c>
      <c r="F358" s="4">
        <f>CHOOSE( CONTROL!$C$33, 11.2061, 11.2044) * CHOOSE(CONTROL!$C$16, $D$11, 100%, $F$11)</f>
        <v>11.206099999999999</v>
      </c>
      <c r="G358" s="8">
        <f>CHOOSE( CONTROL!$C$33, 10.3847, 10.3831) * CHOOSE( CONTROL!$C$16, $D$11, 100%, $F$11)</f>
        <v>10.3847</v>
      </c>
      <c r="H358" s="4">
        <f>CHOOSE( CONTROL!$C$33, 11.3215, 11.3198) * CHOOSE(CONTROL!$C$16, $D$11, 100%, $F$11)</f>
        <v>11.3215</v>
      </c>
      <c r="I358" s="8">
        <f>CHOOSE( CONTROL!$C$33, 10.2883, 10.2867) * CHOOSE(CONTROL!$C$16, $D$11, 100%, $F$11)</f>
        <v>10.2883</v>
      </c>
      <c r="J358" s="4">
        <f>CHOOSE( CONTROL!$C$33, 10.1586, 10.157) * CHOOSE(CONTROL!$C$16, $D$11, 100%, $F$11)</f>
        <v>10.1586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1.2509999999999999</v>
      </c>
      <c r="Q358" s="9">
        <v>19.929600000000001</v>
      </c>
      <c r="R358" s="9"/>
      <c r="S358" s="11"/>
    </row>
    <row r="359" spans="1:19" ht="15.75">
      <c r="A359" s="13">
        <v>52078</v>
      </c>
      <c r="B359" s="8">
        <f>CHOOSE( CONTROL!$C$33, 10.9289, 10.9272) * CHOOSE(CONTROL!$C$16, $D$11, 100%, $F$11)</f>
        <v>10.928900000000001</v>
      </c>
      <c r="C359" s="8">
        <f>CHOOSE( CONTROL!$C$33, 10.9368, 10.9352) * CHOOSE(CONTROL!$C$16, $D$11, 100%, $F$11)</f>
        <v>10.9368</v>
      </c>
      <c r="D359" s="8">
        <f>CHOOSE( CONTROL!$C$33, 10.9556, 10.954) * CHOOSE( CONTROL!$C$16, $D$11, 100%, $F$11)</f>
        <v>10.9556</v>
      </c>
      <c r="E359" s="12">
        <f>CHOOSE( CONTROL!$C$33, 10.9476, 10.946) * CHOOSE( CONTROL!$C$16, $D$11, 100%, $F$11)</f>
        <v>10.9476</v>
      </c>
      <c r="F359" s="4">
        <f>CHOOSE( CONTROL!$C$33, 11.6564, 11.6547) * CHOOSE(CONTROL!$C$16, $D$11, 100%, $F$11)</f>
        <v>11.6564</v>
      </c>
      <c r="G359" s="8">
        <f>CHOOSE( CONTROL!$C$33, 10.83, 10.8283) * CHOOSE( CONTROL!$C$16, $D$11, 100%, $F$11)</f>
        <v>10.83</v>
      </c>
      <c r="H359" s="4">
        <f>CHOOSE( CONTROL!$C$33, 11.7665, 11.7649) * CHOOSE(CONTROL!$C$16, $D$11, 100%, $F$11)</f>
        <v>11.766500000000001</v>
      </c>
      <c r="I359" s="8">
        <f>CHOOSE( CONTROL!$C$33, 10.7265, 10.7249) * CHOOSE(CONTROL!$C$16, $D$11, 100%, $F$11)</f>
        <v>10.7265</v>
      </c>
      <c r="J359" s="4">
        <f>CHOOSE( CONTROL!$C$33, 10.5956, 10.594) * CHOOSE(CONTROL!$C$16, $D$11, 100%, $F$11)</f>
        <v>10.595599999999999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1.2927</v>
      </c>
      <c r="Q359" s="9">
        <v>20.593900000000001</v>
      </c>
      <c r="R359" s="9"/>
      <c r="S359" s="11"/>
    </row>
    <row r="360" spans="1:19" ht="15.75">
      <c r="A360" s="13">
        <v>52109</v>
      </c>
      <c r="B360" s="8">
        <f>CHOOSE( CONTROL!$C$33, 10.0862, 10.0846) * CHOOSE(CONTROL!$C$16, $D$11, 100%, $F$11)</f>
        <v>10.0862</v>
      </c>
      <c r="C360" s="8">
        <f>CHOOSE( CONTROL!$C$33, 10.0942, 10.0925) * CHOOSE(CONTROL!$C$16, $D$11, 100%, $F$11)</f>
        <v>10.094200000000001</v>
      </c>
      <c r="D360" s="8">
        <f>CHOOSE( CONTROL!$C$33, 10.1131, 10.1114) * CHOOSE( CONTROL!$C$16, $D$11, 100%, $F$11)</f>
        <v>10.113099999999999</v>
      </c>
      <c r="E360" s="12">
        <f>CHOOSE( CONTROL!$C$33, 10.105, 10.1033) * CHOOSE( CONTROL!$C$16, $D$11, 100%, $F$11)</f>
        <v>10.105</v>
      </c>
      <c r="F360" s="4">
        <f>CHOOSE( CONTROL!$C$33, 10.8138, 10.8121) * CHOOSE(CONTROL!$C$16, $D$11, 100%, $F$11)</f>
        <v>10.813800000000001</v>
      </c>
      <c r="G360" s="8">
        <f>CHOOSE( CONTROL!$C$33, 9.9973, 9.9956) * CHOOSE( CONTROL!$C$16, $D$11, 100%, $F$11)</f>
        <v>9.9972999999999992</v>
      </c>
      <c r="H360" s="4">
        <f>CHOOSE( CONTROL!$C$33, 10.9338, 10.9321) * CHOOSE(CONTROL!$C$16, $D$11, 100%, $F$11)</f>
        <v>10.9338</v>
      </c>
      <c r="I360" s="8">
        <f>CHOOSE( CONTROL!$C$33, 9.9085, 9.9069) * CHOOSE(CONTROL!$C$16, $D$11, 100%, $F$11)</f>
        <v>9.9085000000000001</v>
      </c>
      <c r="J360" s="4">
        <f>CHOOSE( CONTROL!$C$33, 9.7778, 9.7762) * CHOOSE(CONTROL!$C$16, $D$11, 100%, $F$11)</f>
        <v>9.7777999999999992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1.2927</v>
      </c>
      <c r="Q360" s="9">
        <v>20.593900000000001</v>
      </c>
      <c r="R360" s="9"/>
      <c r="S360" s="11"/>
    </row>
    <row r="361" spans="1:19" ht="15.75">
      <c r="A361" s="13">
        <v>52139</v>
      </c>
      <c r="B361" s="8">
        <f>CHOOSE( CONTROL!$C$33, 9.8752, 9.8735) * CHOOSE(CONTROL!$C$16, $D$11, 100%, $F$11)</f>
        <v>9.8751999999999995</v>
      </c>
      <c r="C361" s="8">
        <f>CHOOSE( CONTROL!$C$33, 9.8832, 9.8815) * CHOOSE(CONTROL!$C$16, $D$11, 100%, $F$11)</f>
        <v>9.8832000000000004</v>
      </c>
      <c r="D361" s="8">
        <f>CHOOSE( CONTROL!$C$33, 9.9019, 9.9003) * CHOOSE( CONTROL!$C$16, $D$11, 100%, $F$11)</f>
        <v>9.9018999999999995</v>
      </c>
      <c r="E361" s="12">
        <f>CHOOSE( CONTROL!$C$33, 9.8939, 9.8923) * CHOOSE( CONTROL!$C$16, $D$11, 100%, $F$11)</f>
        <v>9.8939000000000004</v>
      </c>
      <c r="F361" s="4">
        <f>CHOOSE( CONTROL!$C$33, 10.6028, 10.6011) * CHOOSE(CONTROL!$C$16, $D$11, 100%, $F$11)</f>
        <v>10.6028</v>
      </c>
      <c r="G361" s="8">
        <f>CHOOSE( CONTROL!$C$33, 9.7886, 9.787) * CHOOSE( CONTROL!$C$16, $D$11, 100%, $F$11)</f>
        <v>9.7886000000000006</v>
      </c>
      <c r="H361" s="4">
        <f>CHOOSE( CONTROL!$C$33, 10.7252, 10.7236) * CHOOSE(CONTROL!$C$16, $D$11, 100%, $F$11)</f>
        <v>10.725199999999999</v>
      </c>
      <c r="I361" s="8">
        <f>CHOOSE( CONTROL!$C$33, 9.7033, 9.7017) * CHOOSE(CONTROL!$C$16, $D$11, 100%, $F$11)</f>
        <v>9.7033000000000005</v>
      </c>
      <c r="J361" s="4">
        <f>CHOOSE( CONTROL!$C$33, 9.5731, 9.5715) * CHOOSE(CONTROL!$C$16, $D$11, 100%, $F$11)</f>
        <v>9.5731000000000002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1.2509999999999999</v>
      </c>
      <c r="Q361" s="9">
        <v>19.929600000000001</v>
      </c>
      <c r="R361" s="9"/>
      <c r="S361" s="11"/>
    </row>
    <row r="362" spans="1:19" ht="15.75">
      <c r="A362" s="13">
        <v>52170</v>
      </c>
      <c r="B362" s="8">
        <f>CHOOSE( CONTROL!$C$33, 10.311, 10.3099) * CHOOSE(CONTROL!$C$16, $D$11, 100%, $F$11)</f>
        <v>10.311</v>
      </c>
      <c r="C362" s="8">
        <f>CHOOSE( CONTROL!$C$33, 10.3164, 10.3153) * CHOOSE(CONTROL!$C$16, $D$11, 100%, $F$11)</f>
        <v>10.3164</v>
      </c>
      <c r="D362" s="8">
        <f>CHOOSE( CONTROL!$C$33, 10.3408, 10.3397) * CHOOSE( CONTROL!$C$16, $D$11, 100%, $F$11)</f>
        <v>10.3408</v>
      </c>
      <c r="E362" s="12">
        <f>CHOOSE( CONTROL!$C$33, 10.3322, 10.3311) * CHOOSE( CONTROL!$C$16, $D$11, 100%, $F$11)</f>
        <v>10.3322</v>
      </c>
      <c r="F362" s="4">
        <f>CHOOSE( CONTROL!$C$33, 11.0403, 11.0392) * CHOOSE(CONTROL!$C$16, $D$11, 100%, $F$11)</f>
        <v>11.0403</v>
      </c>
      <c r="G362" s="8">
        <f>CHOOSE( CONTROL!$C$33, 10.2212, 10.2202) * CHOOSE( CONTROL!$C$16, $D$11, 100%, $F$11)</f>
        <v>10.2212</v>
      </c>
      <c r="H362" s="4">
        <f>CHOOSE( CONTROL!$C$33, 11.1577, 11.1566) * CHOOSE(CONTROL!$C$16, $D$11, 100%, $F$11)</f>
        <v>11.1577</v>
      </c>
      <c r="I362" s="8">
        <f>CHOOSE( CONTROL!$C$33, 10.129, 10.128) * CHOOSE(CONTROL!$C$16, $D$11, 100%, $F$11)</f>
        <v>10.129</v>
      </c>
      <c r="J362" s="4">
        <f>CHOOSE( CONTROL!$C$33, 9.9977, 9.9967) * CHOOSE(CONTROL!$C$16, $D$11, 100%, $F$11)</f>
        <v>9.9977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1.2927</v>
      </c>
      <c r="Q362" s="9">
        <v>20.593900000000001</v>
      </c>
      <c r="R362" s="9"/>
      <c r="S362" s="11"/>
    </row>
    <row r="363" spans="1:19" ht="15.75">
      <c r="A363" s="13">
        <v>52200</v>
      </c>
      <c r="B363" s="8">
        <f>CHOOSE( CONTROL!$C$33, 11.1193, 11.1182) * CHOOSE(CONTROL!$C$16, $D$11, 100%, $F$11)</f>
        <v>11.119300000000001</v>
      </c>
      <c r="C363" s="8">
        <f>CHOOSE( CONTROL!$C$33, 11.1244, 11.1233) * CHOOSE(CONTROL!$C$16, $D$11, 100%, $F$11)</f>
        <v>11.1244</v>
      </c>
      <c r="D363" s="8">
        <f>CHOOSE( CONTROL!$C$33, 11.1148, 11.1137) * CHOOSE( CONTROL!$C$16, $D$11, 100%, $F$11)</f>
        <v>11.114800000000001</v>
      </c>
      <c r="E363" s="12">
        <f>CHOOSE( CONTROL!$C$33, 11.1178, 11.1167) * CHOOSE( CONTROL!$C$16, $D$11, 100%, $F$11)</f>
        <v>11.117800000000001</v>
      </c>
      <c r="F363" s="4">
        <f>CHOOSE( CONTROL!$C$33, 11.7794, 11.7784) * CHOOSE(CONTROL!$C$16, $D$11, 100%, $F$11)</f>
        <v>11.779400000000001</v>
      </c>
      <c r="G363" s="8">
        <f>CHOOSE( CONTROL!$C$33, 11.007, 11.0059) * CHOOSE( CONTROL!$C$16, $D$11, 100%, $F$11)</f>
        <v>11.007</v>
      </c>
      <c r="H363" s="4">
        <f>CHOOSE( CONTROL!$C$33, 11.8881, 11.8871) * CHOOSE(CONTROL!$C$16, $D$11, 100%, $F$11)</f>
        <v>11.8881</v>
      </c>
      <c r="I363" s="8">
        <f>CHOOSE( CONTROL!$C$33, 10.9736, 10.9726) * CHOOSE(CONTROL!$C$16, $D$11, 100%, $F$11)</f>
        <v>10.973599999999999</v>
      </c>
      <c r="J363" s="4">
        <f>CHOOSE( CONTROL!$C$33, 10.7825, 10.7815) * CHOOSE(CONTROL!$C$16, $D$11, 100%, $F$11)</f>
        <v>10.782500000000001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19.929600000000001</v>
      </c>
      <c r="R363" s="9"/>
      <c r="S363" s="11"/>
    </row>
    <row r="364" spans="1:19" ht="15.75">
      <c r="A364" s="13">
        <v>52231</v>
      </c>
      <c r="B364" s="8">
        <f>CHOOSE( CONTROL!$C$33, 11.0991, 11.098) * CHOOSE(CONTROL!$C$16, $D$11, 100%, $F$11)</f>
        <v>11.0991</v>
      </c>
      <c r="C364" s="8">
        <f>CHOOSE( CONTROL!$C$33, 11.1042, 11.1031) * CHOOSE(CONTROL!$C$16, $D$11, 100%, $F$11)</f>
        <v>11.104200000000001</v>
      </c>
      <c r="D364" s="8">
        <f>CHOOSE( CONTROL!$C$33, 11.096, 11.0949) * CHOOSE( CONTROL!$C$16, $D$11, 100%, $F$11)</f>
        <v>11.096</v>
      </c>
      <c r="E364" s="12">
        <f>CHOOSE( CONTROL!$C$33, 11.0985, 11.0974) * CHOOSE( CONTROL!$C$16, $D$11, 100%, $F$11)</f>
        <v>11.0985</v>
      </c>
      <c r="F364" s="4">
        <f>CHOOSE( CONTROL!$C$33, 11.7592, 11.7582) * CHOOSE(CONTROL!$C$16, $D$11, 100%, $F$11)</f>
        <v>11.7592</v>
      </c>
      <c r="G364" s="8">
        <f>CHOOSE( CONTROL!$C$33, 10.9881, 10.987) * CHOOSE( CONTROL!$C$16, $D$11, 100%, $F$11)</f>
        <v>10.988099999999999</v>
      </c>
      <c r="H364" s="4">
        <f>CHOOSE( CONTROL!$C$33, 11.8682, 11.8671) * CHOOSE(CONTROL!$C$16, $D$11, 100%, $F$11)</f>
        <v>11.8682</v>
      </c>
      <c r="I364" s="8">
        <f>CHOOSE( CONTROL!$C$33, 10.9584, 10.9574) * CHOOSE(CONTROL!$C$16, $D$11, 100%, $F$11)</f>
        <v>10.958399999999999</v>
      </c>
      <c r="J364" s="4">
        <f>CHOOSE( CONTROL!$C$33, 10.7629, 10.7619) * CHOOSE(CONTROL!$C$16, $D$11, 100%, $F$11)</f>
        <v>10.7629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20.593900000000001</v>
      </c>
      <c r="R364" s="9"/>
      <c r="S364" s="11"/>
    </row>
    <row r="365" spans="1:19" ht="15.75">
      <c r="A365" s="13">
        <v>52262</v>
      </c>
      <c r="B365" s="8">
        <f>CHOOSE( CONTROL!$C$33, 11.4262, 11.4251) * CHOOSE(CONTROL!$C$16, $D$11, 100%, $F$11)</f>
        <v>11.4262</v>
      </c>
      <c r="C365" s="8">
        <f>CHOOSE( CONTROL!$C$33, 11.4313, 11.4302) * CHOOSE(CONTROL!$C$16, $D$11, 100%, $F$11)</f>
        <v>11.4313</v>
      </c>
      <c r="D365" s="8">
        <f>CHOOSE( CONTROL!$C$33, 11.4339, 11.4328) * CHOOSE( CONTROL!$C$16, $D$11, 100%, $F$11)</f>
        <v>11.4339</v>
      </c>
      <c r="E365" s="12">
        <f>CHOOSE( CONTROL!$C$33, 11.4324, 11.4313) * CHOOSE( CONTROL!$C$16, $D$11, 100%, $F$11)</f>
        <v>11.432399999999999</v>
      </c>
      <c r="F365" s="4">
        <f>CHOOSE( CONTROL!$C$33, 12.0863, 12.0852) * CHOOSE(CONTROL!$C$16, $D$11, 100%, $F$11)</f>
        <v>12.0863</v>
      </c>
      <c r="G365" s="8">
        <f>CHOOSE( CONTROL!$C$33, 11.3142, 11.3131) * CHOOSE( CONTROL!$C$16, $D$11, 100%, $F$11)</f>
        <v>11.3142</v>
      </c>
      <c r="H365" s="4">
        <f>CHOOSE( CONTROL!$C$33, 12.1914, 12.1904) * CHOOSE(CONTROL!$C$16, $D$11, 100%, $F$11)</f>
        <v>12.1914</v>
      </c>
      <c r="I365" s="8">
        <f>CHOOSE( CONTROL!$C$33, 11.2475, 11.2465) * CHOOSE(CONTROL!$C$16, $D$11, 100%, $F$11)</f>
        <v>11.2475</v>
      </c>
      <c r="J365" s="4">
        <f>CHOOSE( CONTROL!$C$33, 11.0804, 11.0793) * CHOOSE(CONTROL!$C$16, $D$11, 100%, $F$11)</f>
        <v>11.080399999999999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20.5288</v>
      </c>
      <c r="R365" s="9"/>
      <c r="S365" s="11"/>
    </row>
    <row r="366" spans="1:19" ht="15.75">
      <c r="A366" s="13">
        <v>52290</v>
      </c>
      <c r="B366" s="8">
        <f>CHOOSE( CONTROL!$C$33, 10.6882, 10.6871) * CHOOSE(CONTROL!$C$16, $D$11, 100%, $F$11)</f>
        <v>10.6882</v>
      </c>
      <c r="C366" s="8">
        <f>CHOOSE( CONTROL!$C$33, 10.6932, 10.6922) * CHOOSE(CONTROL!$C$16, $D$11, 100%, $F$11)</f>
        <v>10.693199999999999</v>
      </c>
      <c r="D366" s="8">
        <f>CHOOSE( CONTROL!$C$33, 10.6958, 10.6947) * CHOOSE( CONTROL!$C$16, $D$11, 100%, $F$11)</f>
        <v>10.6958</v>
      </c>
      <c r="E366" s="12">
        <f>CHOOSE( CONTROL!$C$33, 10.6943, 10.6932) * CHOOSE( CONTROL!$C$16, $D$11, 100%, $F$11)</f>
        <v>10.6943</v>
      </c>
      <c r="F366" s="4">
        <f>CHOOSE( CONTROL!$C$33, 11.3483, 11.3472) * CHOOSE(CONTROL!$C$16, $D$11, 100%, $F$11)</f>
        <v>11.3483</v>
      </c>
      <c r="G366" s="8">
        <f>CHOOSE( CONTROL!$C$33, 10.5847, 10.5836) * CHOOSE( CONTROL!$C$16, $D$11, 100%, $F$11)</f>
        <v>10.5847</v>
      </c>
      <c r="H366" s="4">
        <f>CHOOSE( CONTROL!$C$33, 11.462, 11.461) * CHOOSE(CONTROL!$C$16, $D$11, 100%, $F$11)</f>
        <v>11.462</v>
      </c>
      <c r="I366" s="8">
        <f>CHOOSE( CONTROL!$C$33, 10.5306, 10.5296) * CHOOSE(CONTROL!$C$16, $D$11, 100%, $F$11)</f>
        <v>10.5306</v>
      </c>
      <c r="J366" s="4">
        <f>CHOOSE( CONTROL!$C$33, 10.3641, 10.3631) * CHOOSE(CONTROL!$C$16, $D$11, 100%, $F$11)</f>
        <v>10.364100000000001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18.542200000000001</v>
      </c>
      <c r="R366" s="9"/>
      <c r="S366" s="11"/>
    </row>
    <row r="367" spans="1:19" ht="15.75">
      <c r="A367" s="13">
        <v>52321</v>
      </c>
      <c r="B367" s="8">
        <f>CHOOSE( CONTROL!$C$33, 10.4609, 10.4598) * CHOOSE(CONTROL!$C$16, $D$11, 100%, $F$11)</f>
        <v>10.460900000000001</v>
      </c>
      <c r="C367" s="8">
        <f>CHOOSE( CONTROL!$C$33, 10.4659, 10.4648) * CHOOSE(CONTROL!$C$16, $D$11, 100%, $F$11)</f>
        <v>10.4659</v>
      </c>
      <c r="D367" s="8">
        <f>CHOOSE( CONTROL!$C$33, 10.4678, 10.4667) * CHOOSE( CONTROL!$C$16, $D$11, 100%, $F$11)</f>
        <v>10.4678</v>
      </c>
      <c r="E367" s="12">
        <f>CHOOSE( CONTROL!$C$33, 10.4666, 10.4655) * CHOOSE( CONTROL!$C$16, $D$11, 100%, $F$11)</f>
        <v>10.4666</v>
      </c>
      <c r="F367" s="4">
        <f>CHOOSE( CONTROL!$C$33, 11.121, 11.1199) * CHOOSE(CONTROL!$C$16, $D$11, 100%, $F$11)</f>
        <v>11.121</v>
      </c>
      <c r="G367" s="8">
        <f>CHOOSE( CONTROL!$C$33, 10.3596, 10.3585) * CHOOSE( CONTROL!$C$16, $D$11, 100%, $F$11)</f>
        <v>10.3596</v>
      </c>
      <c r="H367" s="4">
        <f>CHOOSE( CONTROL!$C$33, 11.2374, 11.2363) * CHOOSE(CONTROL!$C$16, $D$11, 100%, $F$11)</f>
        <v>11.237399999999999</v>
      </c>
      <c r="I367" s="8">
        <f>CHOOSE( CONTROL!$C$33, 10.3078, 10.3067) * CHOOSE(CONTROL!$C$16, $D$11, 100%, $F$11)</f>
        <v>10.3078</v>
      </c>
      <c r="J367" s="4">
        <f>CHOOSE( CONTROL!$C$33, 10.1435, 10.1425) * CHOOSE(CONTROL!$C$16, $D$11, 100%, $F$11)</f>
        <v>10.1435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20.5288</v>
      </c>
      <c r="R367" s="9"/>
      <c r="S367" s="11"/>
    </row>
    <row r="368" spans="1:19" ht="15.75">
      <c r="A368" s="13">
        <v>52351</v>
      </c>
      <c r="B368" s="8">
        <f>CHOOSE( CONTROL!$C$33, 10.6205, 10.6194) * CHOOSE(CONTROL!$C$16, $D$11, 100%, $F$11)</f>
        <v>10.6205</v>
      </c>
      <c r="C368" s="8">
        <f>CHOOSE( CONTROL!$C$33, 10.625, 10.6239) * CHOOSE(CONTROL!$C$16, $D$11, 100%, $F$11)</f>
        <v>10.625</v>
      </c>
      <c r="D368" s="8">
        <f>CHOOSE( CONTROL!$C$33, 10.6493, 10.6482) * CHOOSE( CONTROL!$C$16, $D$11, 100%, $F$11)</f>
        <v>10.6493</v>
      </c>
      <c r="E368" s="12">
        <f>CHOOSE( CONTROL!$C$33, 10.6408, 10.6397) * CHOOSE( CONTROL!$C$16, $D$11, 100%, $F$11)</f>
        <v>10.6408</v>
      </c>
      <c r="F368" s="4">
        <f>CHOOSE( CONTROL!$C$33, 11.3494, 11.3483) * CHOOSE(CONTROL!$C$16, $D$11, 100%, $F$11)</f>
        <v>11.349399999999999</v>
      </c>
      <c r="G368" s="8">
        <f>CHOOSE( CONTROL!$C$33, 10.5262, 10.5252) * CHOOSE( CONTROL!$C$16, $D$11, 100%, $F$11)</f>
        <v>10.526199999999999</v>
      </c>
      <c r="H368" s="4">
        <f>CHOOSE( CONTROL!$C$33, 11.4631, 11.462) * CHOOSE(CONTROL!$C$16, $D$11, 100%, $F$11)</f>
        <v>11.463100000000001</v>
      </c>
      <c r="I368" s="8">
        <f>CHOOSE( CONTROL!$C$33, 10.4273, 10.4262) * CHOOSE(CONTROL!$C$16, $D$11, 100%, $F$11)</f>
        <v>10.427300000000001</v>
      </c>
      <c r="J368" s="4">
        <f>CHOOSE( CONTROL!$C$33, 10.2977, 10.2966) * CHOOSE(CONTROL!$C$16, $D$11, 100%, $F$11)</f>
        <v>10.297700000000001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1.2509999999999999</v>
      </c>
      <c r="Q368" s="9">
        <v>19.866599999999998</v>
      </c>
      <c r="R368" s="9"/>
      <c r="S368" s="11"/>
    </row>
    <row r="369" spans="1:19" ht="15.75">
      <c r="A369" s="13">
        <v>52382</v>
      </c>
      <c r="B369" s="8">
        <f>CHOOSE( CONTROL!$C$33, 10.9051, 10.9034) * CHOOSE(CONTROL!$C$16, $D$11, 100%, $F$11)</f>
        <v>10.905099999999999</v>
      </c>
      <c r="C369" s="8">
        <f>CHOOSE( CONTROL!$C$33, 10.9131, 10.9114) * CHOOSE(CONTROL!$C$16, $D$11, 100%, $F$11)</f>
        <v>10.9131</v>
      </c>
      <c r="D369" s="8">
        <f>CHOOSE( CONTROL!$C$33, 10.9314, 10.9297) * CHOOSE( CONTROL!$C$16, $D$11, 100%, $F$11)</f>
        <v>10.9314</v>
      </c>
      <c r="E369" s="12">
        <f>CHOOSE( CONTROL!$C$33, 10.9235, 10.9218) * CHOOSE( CONTROL!$C$16, $D$11, 100%, $F$11)</f>
        <v>10.923500000000001</v>
      </c>
      <c r="F369" s="4">
        <f>CHOOSE( CONTROL!$C$33, 11.6326, 11.631) * CHOOSE(CONTROL!$C$16, $D$11, 100%, $F$11)</f>
        <v>11.6326</v>
      </c>
      <c r="G369" s="8">
        <f>CHOOSE( CONTROL!$C$33, 10.8061, 10.8045) * CHOOSE( CONTROL!$C$16, $D$11, 100%, $F$11)</f>
        <v>10.806100000000001</v>
      </c>
      <c r="H369" s="4">
        <f>CHOOSE( CONTROL!$C$33, 11.7431, 11.7414) * CHOOSE(CONTROL!$C$16, $D$11, 100%, $F$11)</f>
        <v>11.7431</v>
      </c>
      <c r="I369" s="8">
        <f>CHOOSE( CONTROL!$C$33, 10.7017, 10.7001) * CHOOSE(CONTROL!$C$16, $D$11, 100%, $F$11)</f>
        <v>10.701700000000001</v>
      </c>
      <c r="J369" s="4">
        <f>CHOOSE( CONTROL!$C$33, 10.5726, 10.571) * CHOOSE(CONTROL!$C$16, $D$11, 100%, $F$11)</f>
        <v>10.5726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1.2927</v>
      </c>
      <c r="Q369" s="9">
        <v>20.5288</v>
      </c>
      <c r="R369" s="9"/>
      <c r="S369" s="11"/>
    </row>
    <row r="370" spans="1:19" ht="15.75">
      <c r="A370" s="13">
        <v>52412</v>
      </c>
      <c r="B370" s="8">
        <f>CHOOSE( CONTROL!$C$33, 10.73, 10.7283) * CHOOSE(CONTROL!$C$16, $D$11, 100%, $F$11)</f>
        <v>10.73</v>
      </c>
      <c r="C370" s="8">
        <f>CHOOSE( CONTROL!$C$33, 10.7379, 10.7363) * CHOOSE(CONTROL!$C$16, $D$11, 100%, $F$11)</f>
        <v>10.7379</v>
      </c>
      <c r="D370" s="8">
        <f>CHOOSE( CONTROL!$C$33, 10.7565, 10.7548) * CHOOSE( CONTROL!$C$16, $D$11, 100%, $F$11)</f>
        <v>10.756500000000001</v>
      </c>
      <c r="E370" s="12">
        <f>CHOOSE( CONTROL!$C$33, 10.7486, 10.7469) * CHOOSE( CONTROL!$C$16, $D$11, 100%, $F$11)</f>
        <v>10.7486</v>
      </c>
      <c r="F370" s="4">
        <f>CHOOSE( CONTROL!$C$33, 11.4575, 11.4559) * CHOOSE(CONTROL!$C$16, $D$11, 100%, $F$11)</f>
        <v>11.4575</v>
      </c>
      <c r="G370" s="8">
        <f>CHOOSE( CONTROL!$C$33, 10.6332, 10.6316) * CHOOSE( CONTROL!$C$16, $D$11, 100%, $F$11)</f>
        <v>10.6332</v>
      </c>
      <c r="H370" s="4">
        <f>CHOOSE( CONTROL!$C$33, 11.57, 11.5684) * CHOOSE(CONTROL!$C$16, $D$11, 100%, $F$11)</f>
        <v>11.57</v>
      </c>
      <c r="I370" s="8">
        <f>CHOOSE( CONTROL!$C$33, 10.5325, 10.5309) * CHOOSE(CONTROL!$C$16, $D$11, 100%, $F$11)</f>
        <v>10.532500000000001</v>
      </c>
      <c r="J370" s="4">
        <f>CHOOSE( CONTROL!$C$33, 10.4026, 10.401) * CHOOSE(CONTROL!$C$16, $D$11, 100%, $F$11)</f>
        <v>10.4026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1.2509999999999999</v>
      </c>
      <c r="Q370" s="9">
        <v>19.866599999999998</v>
      </c>
      <c r="R370" s="9"/>
      <c r="S370" s="11"/>
    </row>
    <row r="371" spans="1:19" ht="15.75">
      <c r="A371" s="13">
        <v>52443</v>
      </c>
      <c r="B371" s="8">
        <f>CHOOSE( CONTROL!$C$33, 11.1911, 11.1895) * CHOOSE(CONTROL!$C$16, $D$11, 100%, $F$11)</f>
        <v>11.1911</v>
      </c>
      <c r="C371" s="8">
        <f>CHOOSE( CONTROL!$C$33, 11.1991, 11.1975) * CHOOSE(CONTROL!$C$16, $D$11, 100%, $F$11)</f>
        <v>11.1991</v>
      </c>
      <c r="D371" s="8">
        <f>CHOOSE( CONTROL!$C$33, 11.2179, 11.2162) * CHOOSE( CONTROL!$C$16, $D$11, 100%, $F$11)</f>
        <v>11.2179</v>
      </c>
      <c r="E371" s="12">
        <f>CHOOSE( CONTROL!$C$33, 11.2099, 11.2082) * CHOOSE( CONTROL!$C$16, $D$11, 100%, $F$11)</f>
        <v>11.209899999999999</v>
      </c>
      <c r="F371" s="4">
        <f>CHOOSE( CONTROL!$C$33, 11.9187, 11.917) * CHOOSE(CONTROL!$C$16, $D$11, 100%, $F$11)</f>
        <v>11.918699999999999</v>
      </c>
      <c r="G371" s="8">
        <f>CHOOSE( CONTROL!$C$33, 11.0892, 11.0875) * CHOOSE( CONTROL!$C$16, $D$11, 100%, $F$11)</f>
        <v>11.0892</v>
      </c>
      <c r="H371" s="4">
        <f>CHOOSE( CONTROL!$C$33, 12.0258, 12.0241) * CHOOSE(CONTROL!$C$16, $D$11, 100%, $F$11)</f>
        <v>12.0258</v>
      </c>
      <c r="I371" s="8">
        <f>CHOOSE( CONTROL!$C$33, 10.9812, 10.9795) * CHOOSE(CONTROL!$C$16, $D$11, 100%, $F$11)</f>
        <v>10.981199999999999</v>
      </c>
      <c r="J371" s="4">
        <f>CHOOSE( CONTROL!$C$33, 10.8502, 10.8486) * CHOOSE(CONTROL!$C$16, $D$11, 100%, $F$11)</f>
        <v>10.850199999999999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1.2927</v>
      </c>
      <c r="Q371" s="9">
        <v>20.5288</v>
      </c>
      <c r="R371" s="9"/>
      <c r="S371" s="11"/>
    </row>
    <row r="372" spans="1:19" ht="15.75">
      <c r="A372" s="13">
        <v>52474</v>
      </c>
      <c r="B372" s="8">
        <f>CHOOSE( CONTROL!$C$33, 10.3283, 10.3266) * CHOOSE(CONTROL!$C$16, $D$11, 100%, $F$11)</f>
        <v>10.3283</v>
      </c>
      <c r="C372" s="8">
        <f>CHOOSE( CONTROL!$C$33, 10.3362, 10.3346) * CHOOSE(CONTROL!$C$16, $D$11, 100%, $F$11)</f>
        <v>10.3362</v>
      </c>
      <c r="D372" s="8">
        <f>CHOOSE( CONTROL!$C$33, 10.3551, 10.3534) * CHOOSE( CONTROL!$C$16, $D$11, 100%, $F$11)</f>
        <v>10.3551</v>
      </c>
      <c r="E372" s="12">
        <f>CHOOSE( CONTROL!$C$33, 10.347, 10.3454) * CHOOSE( CONTROL!$C$16, $D$11, 100%, $F$11)</f>
        <v>10.347</v>
      </c>
      <c r="F372" s="4">
        <f>CHOOSE( CONTROL!$C$33, 11.0558, 11.0541) * CHOOSE(CONTROL!$C$16, $D$11, 100%, $F$11)</f>
        <v>11.0558</v>
      </c>
      <c r="G372" s="8">
        <f>CHOOSE( CONTROL!$C$33, 10.2365, 10.2348) * CHOOSE( CONTROL!$C$16, $D$11, 100%, $F$11)</f>
        <v>10.236499999999999</v>
      </c>
      <c r="H372" s="4">
        <f>CHOOSE( CONTROL!$C$33, 11.173, 11.1713) * CHOOSE(CONTROL!$C$16, $D$11, 100%, $F$11)</f>
        <v>11.173</v>
      </c>
      <c r="I372" s="8">
        <f>CHOOSE( CONTROL!$C$33, 10.1436, 10.142) * CHOOSE(CONTROL!$C$16, $D$11, 100%, $F$11)</f>
        <v>10.143599999999999</v>
      </c>
      <c r="J372" s="4">
        <f>CHOOSE( CONTROL!$C$33, 10.0127, 10.0111) * CHOOSE(CONTROL!$C$16, $D$11, 100%, $F$11)</f>
        <v>10.012700000000001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1.2927</v>
      </c>
      <c r="Q372" s="9">
        <v>20.5288</v>
      </c>
      <c r="R372" s="9"/>
      <c r="S372" s="11"/>
    </row>
    <row r="373" spans="1:19" ht="15.75">
      <c r="A373" s="13">
        <v>52504</v>
      </c>
      <c r="B373" s="8">
        <f>CHOOSE( CONTROL!$C$33, 10.1122, 10.1105) * CHOOSE(CONTROL!$C$16, $D$11, 100%, $F$11)</f>
        <v>10.1122</v>
      </c>
      <c r="C373" s="8">
        <f>CHOOSE( CONTROL!$C$33, 10.1201, 10.1185) * CHOOSE(CONTROL!$C$16, $D$11, 100%, $F$11)</f>
        <v>10.120100000000001</v>
      </c>
      <c r="D373" s="8">
        <f>CHOOSE( CONTROL!$C$33, 10.1389, 10.1373) * CHOOSE( CONTROL!$C$16, $D$11, 100%, $F$11)</f>
        <v>10.1389</v>
      </c>
      <c r="E373" s="12">
        <f>CHOOSE( CONTROL!$C$33, 10.1309, 10.1293) * CHOOSE( CONTROL!$C$16, $D$11, 100%, $F$11)</f>
        <v>10.1309</v>
      </c>
      <c r="F373" s="4">
        <f>CHOOSE( CONTROL!$C$33, 10.8397, 10.8381) * CHOOSE(CONTROL!$C$16, $D$11, 100%, $F$11)</f>
        <v>10.839700000000001</v>
      </c>
      <c r="G373" s="8">
        <f>CHOOSE( CONTROL!$C$33, 10.0228, 10.0212) * CHOOSE( CONTROL!$C$16, $D$11, 100%, $F$11)</f>
        <v>10.0228</v>
      </c>
      <c r="H373" s="4">
        <f>CHOOSE( CONTROL!$C$33, 10.9594, 10.9578) * CHOOSE(CONTROL!$C$16, $D$11, 100%, $F$11)</f>
        <v>10.9594</v>
      </c>
      <c r="I373" s="8">
        <f>CHOOSE( CONTROL!$C$33, 9.9334, 9.9318) * CHOOSE(CONTROL!$C$16, $D$11, 100%, $F$11)</f>
        <v>9.9334000000000007</v>
      </c>
      <c r="J373" s="4">
        <f>CHOOSE( CONTROL!$C$33, 9.803, 9.8014) * CHOOSE(CONTROL!$C$16, $D$11, 100%, $F$11)</f>
        <v>9.8030000000000008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1.2509999999999999</v>
      </c>
      <c r="Q373" s="9">
        <v>19.866599999999998</v>
      </c>
      <c r="R373" s="9"/>
      <c r="S373" s="11"/>
    </row>
    <row r="374" spans="1:19" ht="15.75">
      <c r="A374" s="13">
        <v>52535</v>
      </c>
      <c r="B374" s="8">
        <f>CHOOSE( CONTROL!$C$33, 10.5585, 10.5574) * CHOOSE(CONTROL!$C$16, $D$11, 100%, $F$11)</f>
        <v>10.5585</v>
      </c>
      <c r="C374" s="8">
        <f>CHOOSE( CONTROL!$C$33, 10.5639, 10.5628) * CHOOSE(CONTROL!$C$16, $D$11, 100%, $F$11)</f>
        <v>10.5639</v>
      </c>
      <c r="D374" s="8">
        <f>CHOOSE( CONTROL!$C$33, 10.5883, 10.5872) * CHOOSE( CONTROL!$C$16, $D$11, 100%, $F$11)</f>
        <v>10.5883</v>
      </c>
      <c r="E374" s="12">
        <f>CHOOSE( CONTROL!$C$33, 10.5797, 10.5786) * CHOOSE( CONTROL!$C$16, $D$11, 100%, $F$11)</f>
        <v>10.579700000000001</v>
      </c>
      <c r="F374" s="4">
        <f>CHOOSE( CONTROL!$C$33, 11.2878, 11.2867) * CHOOSE(CONTROL!$C$16, $D$11, 100%, $F$11)</f>
        <v>11.287800000000001</v>
      </c>
      <c r="G374" s="8">
        <f>CHOOSE( CONTROL!$C$33, 10.4658, 10.4648) * CHOOSE( CONTROL!$C$16, $D$11, 100%, $F$11)</f>
        <v>10.4658</v>
      </c>
      <c r="H374" s="4">
        <f>CHOOSE( CONTROL!$C$33, 11.4023, 11.4012) * CHOOSE(CONTROL!$C$16, $D$11, 100%, $F$11)</f>
        <v>11.4023</v>
      </c>
      <c r="I374" s="8">
        <f>CHOOSE( CONTROL!$C$33, 10.3694, 10.3683) * CHOOSE(CONTROL!$C$16, $D$11, 100%, $F$11)</f>
        <v>10.369400000000001</v>
      </c>
      <c r="J374" s="4">
        <f>CHOOSE( CONTROL!$C$33, 10.2379, 10.2369) * CHOOSE(CONTROL!$C$16, $D$11, 100%, $F$11)</f>
        <v>10.2379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1.2927</v>
      </c>
      <c r="Q374" s="9">
        <v>20.5288</v>
      </c>
      <c r="R374" s="9"/>
      <c r="S374" s="11"/>
    </row>
    <row r="375" spans="1:19" ht="15.75">
      <c r="A375" s="13">
        <v>52565</v>
      </c>
      <c r="B375" s="8">
        <f>CHOOSE( CONTROL!$C$33, 11.3862, 11.3852) * CHOOSE(CONTROL!$C$16, $D$11, 100%, $F$11)</f>
        <v>11.386200000000001</v>
      </c>
      <c r="C375" s="8">
        <f>CHOOSE( CONTROL!$C$33, 11.3913, 11.3902) * CHOOSE(CONTROL!$C$16, $D$11, 100%, $F$11)</f>
        <v>11.391299999999999</v>
      </c>
      <c r="D375" s="8">
        <f>CHOOSE( CONTROL!$C$33, 11.3817, 11.3806) * CHOOSE( CONTROL!$C$16, $D$11, 100%, $F$11)</f>
        <v>11.3817</v>
      </c>
      <c r="E375" s="12">
        <f>CHOOSE( CONTROL!$C$33, 11.3847, 11.3836) * CHOOSE( CONTROL!$C$16, $D$11, 100%, $F$11)</f>
        <v>11.3847</v>
      </c>
      <c r="F375" s="4">
        <f>CHOOSE( CONTROL!$C$33, 12.0464, 12.0453) * CHOOSE(CONTROL!$C$16, $D$11, 100%, $F$11)</f>
        <v>12.0464</v>
      </c>
      <c r="G375" s="8">
        <f>CHOOSE( CONTROL!$C$33, 11.2708, 11.2697) * CHOOSE( CONTROL!$C$16, $D$11, 100%, $F$11)</f>
        <v>11.270799999999999</v>
      </c>
      <c r="H375" s="4">
        <f>CHOOSE( CONTROL!$C$33, 12.1519, 12.1509) * CHOOSE(CONTROL!$C$16, $D$11, 100%, $F$11)</f>
        <v>12.151899999999999</v>
      </c>
      <c r="I375" s="8">
        <f>CHOOSE( CONTROL!$C$33, 11.2328, 11.2317) * CHOOSE(CONTROL!$C$16, $D$11, 100%, $F$11)</f>
        <v>11.232799999999999</v>
      </c>
      <c r="J375" s="4">
        <f>CHOOSE( CONTROL!$C$33, 11.0416, 11.0405) * CHOOSE(CONTROL!$C$16, $D$11, 100%, $F$11)</f>
        <v>11.041600000000001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19.866599999999998</v>
      </c>
      <c r="R375" s="9"/>
      <c r="S375" s="11"/>
    </row>
    <row r="376" spans="1:19" ht="15.75">
      <c r="A376" s="13">
        <v>52596</v>
      </c>
      <c r="B376" s="8">
        <f>CHOOSE( CONTROL!$C$33, 11.3655, 11.3645) * CHOOSE(CONTROL!$C$16, $D$11, 100%, $F$11)</f>
        <v>11.365500000000001</v>
      </c>
      <c r="C376" s="8">
        <f>CHOOSE( CONTROL!$C$33, 11.3706, 11.3695) * CHOOSE(CONTROL!$C$16, $D$11, 100%, $F$11)</f>
        <v>11.3706</v>
      </c>
      <c r="D376" s="8">
        <f>CHOOSE( CONTROL!$C$33, 11.3624, 11.3614) * CHOOSE( CONTROL!$C$16, $D$11, 100%, $F$11)</f>
        <v>11.362399999999999</v>
      </c>
      <c r="E376" s="12">
        <f>CHOOSE( CONTROL!$C$33, 11.3649, 11.3638) * CHOOSE( CONTROL!$C$16, $D$11, 100%, $F$11)</f>
        <v>11.3649</v>
      </c>
      <c r="F376" s="4">
        <f>CHOOSE( CONTROL!$C$33, 12.0257, 12.0246) * CHOOSE(CONTROL!$C$16, $D$11, 100%, $F$11)</f>
        <v>12.025700000000001</v>
      </c>
      <c r="G376" s="8">
        <f>CHOOSE( CONTROL!$C$33, 11.2514, 11.2503) * CHOOSE( CONTROL!$C$16, $D$11, 100%, $F$11)</f>
        <v>11.2514</v>
      </c>
      <c r="H376" s="4">
        <f>CHOOSE( CONTROL!$C$33, 12.1315, 12.1304) * CHOOSE(CONTROL!$C$16, $D$11, 100%, $F$11)</f>
        <v>12.131500000000001</v>
      </c>
      <c r="I376" s="8">
        <f>CHOOSE( CONTROL!$C$33, 11.2171, 11.2161) * CHOOSE(CONTROL!$C$16, $D$11, 100%, $F$11)</f>
        <v>11.2171</v>
      </c>
      <c r="J376" s="4">
        <f>CHOOSE( CONTROL!$C$33, 11.0215, 11.0205) * CHOOSE(CONTROL!$C$16, $D$11, 100%, $F$11)</f>
        <v>11.0215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20.5288</v>
      </c>
      <c r="R376" s="9"/>
      <c r="S376" s="11"/>
    </row>
    <row r="377" spans="1:19" ht="15.75">
      <c r="A377" s="13">
        <v>52627</v>
      </c>
      <c r="B377" s="8">
        <f>CHOOSE( CONTROL!$C$33, 11.7005, 11.6994) * CHOOSE(CONTROL!$C$16, $D$11, 100%, $F$11)</f>
        <v>11.7005</v>
      </c>
      <c r="C377" s="8">
        <f>CHOOSE( CONTROL!$C$33, 11.7056, 11.7045) * CHOOSE(CONTROL!$C$16, $D$11, 100%, $F$11)</f>
        <v>11.7056</v>
      </c>
      <c r="D377" s="8">
        <f>CHOOSE( CONTROL!$C$33, 11.7082, 11.7071) * CHOOSE( CONTROL!$C$16, $D$11, 100%, $F$11)</f>
        <v>11.7082</v>
      </c>
      <c r="E377" s="12">
        <f>CHOOSE( CONTROL!$C$33, 11.7067, 11.7056) * CHOOSE( CONTROL!$C$16, $D$11, 100%, $F$11)</f>
        <v>11.7067</v>
      </c>
      <c r="F377" s="4">
        <f>CHOOSE( CONTROL!$C$33, 12.3606, 12.3595) * CHOOSE(CONTROL!$C$16, $D$11, 100%, $F$11)</f>
        <v>12.3606</v>
      </c>
      <c r="G377" s="8">
        <f>CHOOSE( CONTROL!$C$33, 11.5852, 11.5842) * CHOOSE( CONTROL!$C$16, $D$11, 100%, $F$11)</f>
        <v>11.5852</v>
      </c>
      <c r="H377" s="4">
        <f>CHOOSE( CONTROL!$C$33, 12.4625, 12.4614) * CHOOSE(CONTROL!$C$16, $D$11, 100%, $F$11)</f>
        <v>12.4625</v>
      </c>
      <c r="I377" s="8">
        <f>CHOOSE( CONTROL!$C$33, 11.5139, 11.5128) * CHOOSE(CONTROL!$C$16, $D$11, 100%, $F$11)</f>
        <v>11.5139</v>
      </c>
      <c r="J377" s="4">
        <f>CHOOSE( CONTROL!$C$33, 11.3466, 11.3455) * CHOOSE(CONTROL!$C$16, $D$11, 100%, $F$11)</f>
        <v>11.3466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20.4619</v>
      </c>
      <c r="R377" s="9"/>
      <c r="S377" s="11"/>
    </row>
    <row r="378" spans="1:19" ht="15.75">
      <c r="A378" s="13">
        <v>52655</v>
      </c>
      <c r="B378" s="8">
        <f>CHOOSE( CONTROL!$C$33, 10.9447, 10.9436) * CHOOSE(CONTROL!$C$16, $D$11, 100%, $F$11)</f>
        <v>10.944699999999999</v>
      </c>
      <c r="C378" s="8">
        <f>CHOOSE( CONTROL!$C$33, 10.9498, 10.9487) * CHOOSE(CONTROL!$C$16, $D$11, 100%, $F$11)</f>
        <v>10.9498</v>
      </c>
      <c r="D378" s="8">
        <f>CHOOSE( CONTROL!$C$33, 10.9524, 10.9513) * CHOOSE( CONTROL!$C$16, $D$11, 100%, $F$11)</f>
        <v>10.952400000000001</v>
      </c>
      <c r="E378" s="12">
        <f>CHOOSE( CONTROL!$C$33, 10.9509, 10.9498) * CHOOSE( CONTROL!$C$16, $D$11, 100%, $F$11)</f>
        <v>10.950900000000001</v>
      </c>
      <c r="F378" s="4">
        <f>CHOOSE( CONTROL!$C$33, 11.6049, 11.6038) * CHOOSE(CONTROL!$C$16, $D$11, 100%, $F$11)</f>
        <v>11.604900000000001</v>
      </c>
      <c r="G378" s="8">
        <f>CHOOSE( CONTROL!$C$33, 10.8383, 10.8372) * CHOOSE( CONTROL!$C$16, $D$11, 100%, $F$11)</f>
        <v>10.8383</v>
      </c>
      <c r="H378" s="4">
        <f>CHOOSE( CONTROL!$C$33, 11.7156, 11.7145) * CHOOSE(CONTROL!$C$16, $D$11, 100%, $F$11)</f>
        <v>11.7156</v>
      </c>
      <c r="I378" s="8">
        <f>CHOOSE( CONTROL!$C$33, 10.7798, 10.7787) * CHOOSE(CONTROL!$C$16, $D$11, 100%, $F$11)</f>
        <v>10.7798</v>
      </c>
      <c r="J378" s="4">
        <f>CHOOSE( CONTROL!$C$33, 10.6131, 10.6121) * CHOOSE(CONTROL!$C$16, $D$11, 100%, $F$11)</f>
        <v>10.613099999999999</v>
      </c>
      <c r="K378" s="4"/>
      <c r="L378" s="9">
        <v>27.415299999999998</v>
      </c>
      <c r="M378" s="9">
        <v>11.285299999999999</v>
      </c>
      <c r="N378" s="9">
        <v>4.6254999999999997</v>
      </c>
      <c r="O378" s="9">
        <v>0.34989999999999999</v>
      </c>
      <c r="P378" s="9">
        <v>1.2093</v>
      </c>
      <c r="Q378" s="9">
        <v>19.1417</v>
      </c>
      <c r="R378" s="9"/>
      <c r="S378" s="11"/>
    </row>
    <row r="379" spans="1:19" ht="15.75">
      <c r="A379" s="13">
        <v>52687</v>
      </c>
      <c r="B379" s="8">
        <f>CHOOSE( CONTROL!$C$33, 10.712, 10.7109) * CHOOSE(CONTROL!$C$16, $D$11, 100%, $F$11)</f>
        <v>10.712</v>
      </c>
      <c r="C379" s="8">
        <f>CHOOSE( CONTROL!$C$33, 10.717, 10.716) * CHOOSE(CONTROL!$C$16, $D$11, 100%, $F$11)</f>
        <v>10.717000000000001</v>
      </c>
      <c r="D379" s="8">
        <f>CHOOSE( CONTROL!$C$33, 10.7189, 10.7178) * CHOOSE( CONTROL!$C$16, $D$11, 100%, $F$11)</f>
        <v>10.7189</v>
      </c>
      <c r="E379" s="12">
        <f>CHOOSE( CONTROL!$C$33, 10.7177, 10.7166) * CHOOSE( CONTROL!$C$16, $D$11, 100%, $F$11)</f>
        <v>10.717700000000001</v>
      </c>
      <c r="F379" s="4">
        <f>CHOOSE( CONTROL!$C$33, 11.3721, 11.371) * CHOOSE(CONTROL!$C$16, $D$11, 100%, $F$11)</f>
        <v>11.3721</v>
      </c>
      <c r="G379" s="8">
        <f>CHOOSE( CONTROL!$C$33, 10.6077, 10.6067) * CHOOSE( CONTROL!$C$16, $D$11, 100%, $F$11)</f>
        <v>10.607699999999999</v>
      </c>
      <c r="H379" s="4">
        <f>CHOOSE( CONTROL!$C$33, 11.4856, 11.4845) * CHOOSE(CONTROL!$C$16, $D$11, 100%, $F$11)</f>
        <v>11.4856</v>
      </c>
      <c r="I379" s="8">
        <f>CHOOSE( CONTROL!$C$33, 10.5516, 10.5506) * CHOOSE(CONTROL!$C$16, $D$11, 100%, $F$11)</f>
        <v>10.551600000000001</v>
      </c>
      <c r="J379" s="4">
        <f>CHOOSE( CONTROL!$C$33, 10.3872, 10.3862) * CHOOSE(CONTROL!$C$16, $D$11, 100%, $F$11)</f>
        <v>10.3872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20.4619</v>
      </c>
      <c r="R379" s="9"/>
      <c r="S379" s="11"/>
    </row>
    <row r="380" spans="1:19" ht="15.75">
      <c r="A380" s="13">
        <v>52717</v>
      </c>
      <c r="B380" s="8">
        <f>CHOOSE( CONTROL!$C$33, 10.8754, 10.8743) * CHOOSE(CONTROL!$C$16, $D$11, 100%, $F$11)</f>
        <v>10.875400000000001</v>
      </c>
      <c r="C380" s="8">
        <f>CHOOSE( CONTROL!$C$33, 10.8799, 10.8788) * CHOOSE(CONTROL!$C$16, $D$11, 100%, $F$11)</f>
        <v>10.879899999999999</v>
      </c>
      <c r="D380" s="8">
        <f>CHOOSE( CONTROL!$C$33, 10.9042, 10.9032) * CHOOSE( CONTROL!$C$16, $D$11, 100%, $F$11)</f>
        <v>10.904199999999999</v>
      </c>
      <c r="E380" s="12">
        <f>CHOOSE( CONTROL!$C$33, 10.8957, 10.8946) * CHOOSE( CONTROL!$C$16, $D$11, 100%, $F$11)</f>
        <v>10.8957</v>
      </c>
      <c r="F380" s="4">
        <f>CHOOSE( CONTROL!$C$33, 11.6043, 11.6032) * CHOOSE(CONTROL!$C$16, $D$11, 100%, $F$11)</f>
        <v>11.6043</v>
      </c>
      <c r="G380" s="8">
        <f>CHOOSE( CONTROL!$C$33, 10.7782, 10.7771) * CHOOSE( CONTROL!$C$16, $D$11, 100%, $F$11)</f>
        <v>10.7782</v>
      </c>
      <c r="H380" s="4">
        <f>CHOOSE( CONTROL!$C$33, 11.715, 11.714) * CHOOSE(CONTROL!$C$16, $D$11, 100%, $F$11)</f>
        <v>11.715</v>
      </c>
      <c r="I380" s="8">
        <f>CHOOSE( CONTROL!$C$33, 10.6748, 10.6737) * CHOOSE(CONTROL!$C$16, $D$11, 100%, $F$11)</f>
        <v>10.674799999999999</v>
      </c>
      <c r="J380" s="4">
        <f>CHOOSE( CONTROL!$C$33, 10.5451, 10.544) * CHOOSE(CONTROL!$C$16, $D$11, 100%, $F$11)</f>
        <v>10.5451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1.2509999999999999</v>
      </c>
      <c r="Q380" s="9">
        <v>19.8018</v>
      </c>
      <c r="R380" s="9"/>
      <c r="S380" s="11"/>
    </row>
    <row r="381" spans="1:19" ht="15.75">
      <c r="A381" s="13">
        <v>52748</v>
      </c>
      <c r="B381" s="8">
        <f>CHOOSE( CONTROL!$C$33, 11.1668, 11.1652) * CHOOSE(CONTROL!$C$16, $D$11, 100%, $F$11)</f>
        <v>11.1668</v>
      </c>
      <c r="C381" s="8">
        <f>CHOOSE( CONTROL!$C$33, 11.1748, 11.1731) * CHOOSE(CONTROL!$C$16, $D$11, 100%, $F$11)</f>
        <v>11.174799999999999</v>
      </c>
      <c r="D381" s="8">
        <f>CHOOSE( CONTROL!$C$33, 11.1931, 11.1914) * CHOOSE( CONTROL!$C$16, $D$11, 100%, $F$11)</f>
        <v>11.193099999999999</v>
      </c>
      <c r="E381" s="12">
        <f>CHOOSE( CONTROL!$C$33, 11.1852, 11.1836) * CHOOSE( CONTROL!$C$16, $D$11, 100%, $F$11)</f>
        <v>11.1852</v>
      </c>
      <c r="F381" s="4">
        <f>CHOOSE( CONTROL!$C$33, 11.8944, 11.8927) * CHOOSE(CONTROL!$C$16, $D$11, 100%, $F$11)</f>
        <v>11.894399999999999</v>
      </c>
      <c r="G381" s="8">
        <f>CHOOSE( CONTROL!$C$33, 11.0647, 11.0631) * CHOOSE( CONTROL!$C$16, $D$11, 100%, $F$11)</f>
        <v>11.0647</v>
      </c>
      <c r="H381" s="4">
        <f>CHOOSE( CONTROL!$C$33, 12.0017, 12.0001) * CHOOSE(CONTROL!$C$16, $D$11, 100%, $F$11)</f>
        <v>12.0017</v>
      </c>
      <c r="I381" s="8">
        <f>CHOOSE( CONTROL!$C$33, 10.9558, 10.9542) * CHOOSE(CONTROL!$C$16, $D$11, 100%, $F$11)</f>
        <v>10.9558</v>
      </c>
      <c r="J381" s="4">
        <f>CHOOSE( CONTROL!$C$33, 10.8266, 10.825) * CHOOSE(CONTROL!$C$16, $D$11, 100%, $F$11)</f>
        <v>10.826599999999999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1.2927</v>
      </c>
      <c r="Q381" s="9">
        <v>20.4619</v>
      </c>
      <c r="R381" s="9"/>
      <c r="S381" s="11"/>
    </row>
    <row r="382" spans="1:19" ht="15.75">
      <c r="A382" s="13">
        <v>52778</v>
      </c>
      <c r="B382" s="8">
        <f>CHOOSE( CONTROL!$C$33, 10.9875, 10.9858) * CHOOSE(CONTROL!$C$16, $D$11, 100%, $F$11)</f>
        <v>10.987500000000001</v>
      </c>
      <c r="C382" s="8">
        <f>CHOOSE( CONTROL!$C$33, 10.9955, 10.9938) * CHOOSE(CONTROL!$C$16, $D$11, 100%, $F$11)</f>
        <v>10.9955</v>
      </c>
      <c r="D382" s="8">
        <f>CHOOSE( CONTROL!$C$33, 11.014, 11.0123) * CHOOSE( CONTROL!$C$16, $D$11, 100%, $F$11)</f>
        <v>11.013999999999999</v>
      </c>
      <c r="E382" s="12">
        <f>CHOOSE( CONTROL!$C$33, 11.0061, 11.0044) * CHOOSE( CONTROL!$C$16, $D$11, 100%, $F$11)</f>
        <v>11.0061</v>
      </c>
      <c r="F382" s="4">
        <f>CHOOSE( CONTROL!$C$33, 11.715, 11.7134) * CHOOSE(CONTROL!$C$16, $D$11, 100%, $F$11)</f>
        <v>11.715</v>
      </c>
      <c r="G382" s="8">
        <f>CHOOSE( CONTROL!$C$33, 10.8877, 10.8861) * CHOOSE( CONTROL!$C$16, $D$11, 100%, $F$11)</f>
        <v>10.887700000000001</v>
      </c>
      <c r="H382" s="4">
        <f>CHOOSE( CONTROL!$C$33, 11.8245, 11.8228) * CHOOSE(CONTROL!$C$16, $D$11, 100%, $F$11)</f>
        <v>11.8245</v>
      </c>
      <c r="I382" s="8">
        <f>CHOOSE( CONTROL!$C$33, 10.7825, 10.7809) * CHOOSE(CONTROL!$C$16, $D$11, 100%, $F$11)</f>
        <v>10.782500000000001</v>
      </c>
      <c r="J382" s="4">
        <f>CHOOSE( CONTROL!$C$33, 10.6525, 10.6509) * CHOOSE(CONTROL!$C$16, $D$11, 100%, $F$11)</f>
        <v>10.6525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1.2509999999999999</v>
      </c>
      <c r="Q382" s="9">
        <v>19.8018</v>
      </c>
      <c r="R382" s="9"/>
      <c r="S382" s="11"/>
    </row>
    <row r="383" spans="1:19" ht="15.75">
      <c r="A383" s="13">
        <v>52809</v>
      </c>
      <c r="B383" s="8">
        <f>CHOOSE( CONTROL!$C$33, 11.4597, 11.4581) * CHOOSE(CONTROL!$C$16, $D$11, 100%, $F$11)</f>
        <v>11.4597</v>
      </c>
      <c r="C383" s="8">
        <f>CHOOSE( CONTROL!$C$33, 11.4677, 11.466) * CHOOSE(CONTROL!$C$16, $D$11, 100%, $F$11)</f>
        <v>11.467700000000001</v>
      </c>
      <c r="D383" s="8">
        <f>CHOOSE( CONTROL!$C$33, 11.4865, 11.4848) * CHOOSE( CONTROL!$C$16, $D$11, 100%, $F$11)</f>
        <v>11.486499999999999</v>
      </c>
      <c r="E383" s="12">
        <f>CHOOSE( CONTROL!$C$33, 11.4785, 11.4768) * CHOOSE( CONTROL!$C$16, $D$11, 100%, $F$11)</f>
        <v>11.4785</v>
      </c>
      <c r="F383" s="4">
        <f>CHOOSE( CONTROL!$C$33, 12.1873, 12.1856) * CHOOSE(CONTROL!$C$16, $D$11, 100%, $F$11)</f>
        <v>12.1873</v>
      </c>
      <c r="G383" s="8">
        <f>CHOOSE( CONTROL!$C$33, 11.3546, 11.353) * CHOOSE( CONTROL!$C$16, $D$11, 100%, $F$11)</f>
        <v>11.3546</v>
      </c>
      <c r="H383" s="4">
        <f>CHOOSE( CONTROL!$C$33, 12.2912, 12.2896) * CHOOSE(CONTROL!$C$16, $D$11, 100%, $F$11)</f>
        <v>12.2912</v>
      </c>
      <c r="I383" s="8">
        <f>CHOOSE( CONTROL!$C$33, 11.2419, 11.2403) * CHOOSE(CONTROL!$C$16, $D$11, 100%, $F$11)</f>
        <v>11.241899999999999</v>
      </c>
      <c r="J383" s="4">
        <f>CHOOSE( CONTROL!$C$33, 11.1108, 11.1092) * CHOOSE(CONTROL!$C$16, $D$11, 100%, $F$11)</f>
        <v>11.110799999999999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1.2927</v>
      </c>
      <c r="Q383" s="9">
        <v>20.4619</v>
      </c>
      <c r="R383" s="9"/>
      <c r="S383" s="11"/>
    </row>
    <row r="384" spans="1:19" ht="15.75">
      <c r="A384" s="13">
        <v>52840</v>
      </c>
      <c r="B384" s="8">
        <f>CHOOSE( CONTROL!$C$33, 10.5761, 10.5744) * CHOOSE(CONTROL!$C$16, $D$11, 100%, $F$11)</f>
        <v>10.5761</v>
      </c>
      <c r="C384" s="8">
        <f>CHOOSE( CONTROL!$C$33, 10.5841, 10.5824) * CHOOSE(CONTROL!$C$16, $D$11, 100%, $F$11)</f>
        <v>10.584099999999999</v>
      </c>
      <c r="D384" s="8">
        <f>CHOOSE( CONTROL!$C$33, 10.6029, 10.6013) * CHOOSE( CONTROL!$C$16, $D$11, 100%, $F$11)</f>
        <v>10.6029</v>
      </c>
      <c r="E384" s="12">
        <f>CHOOSE( CONTROL!$C$33, 10.5949, 10.5932) * CHOOSE( CONTROL!$C$16, $D$11, 100%, $F$11)</f>
        <v>10.594900000000001</v>
      </c>
      <c r="F384" s="4">
        <f>CHOOSE( CONTROL!$C$33, 11.3037, 11.302) * CHOOSE(CONTROL!$C$16, $D$11, 100%, $F$11)</f>
        <v>11.303699999999999</v>
      </c>
      <c r="G384" s="8">
        <f>CHOOSE( CONTROL!$C$33, 10.4814, 10.4798) * CHOOSE( CONTROL!$C$16, $D$11, 100%, $F$11)</f>
        <v>10.481400000000001</v>
      </c>
      <c r="H384" s="4">
        <f>CHOOSE( CONTROL!$C$33, 11.4179, 11.4163) * CHOOSE(CONTROL!$C$16, $D$11, 100%, $F$11)</f>
        <v>11.417899999999999</v>
      </c>
      <c r="I384" s="8">
        <f>CHOOSE( CONTROL!$C$33, 10.3842, 10.3826) * CHOOSE(CONTROL!$C$16, $D$11, 100%, $F$11)</f>
        <v>10.3842</v>
      </c>
      <c r="J384" s="4">
        <f>CHOOSE( CONTROL!$C$33, 10.2533, 10.2517) * CHOOSE(CONTROL!$C$16, $D$11, 100%, $F$11)</f>
        <v>10.253299999999999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1.2927</v>
      </c>
      <c r="Q384" s="9">
        <v>20.4619</v>
      </c>
      <c r="R384" s="9"/>
      <c r="S384" s="11"/>
    </row>
    <row r="385" spans="1:19" ht="15.75">
      <c r="A385" s="13">
        <v>52870</v>
      </c>
      <c r="B385" s="8">
        <f>CHOOSE( CONTROL!$C$33, 10.3548, 10.3532) * CHOOSE(CONTROL!$C$16, $D$11, 100%, $F$11)</f>
        <v>10.354799999999999</v>
      </c>
      <c r="C385" s="8">
        <f>CHOOSE( CONTROL!$C$33, 10.3628, 10.3612) * CHOOSE(CONTROL!$C$16, $D$11, 100%, $F$11)</f>
        <v>10.3628</v>
      </c>
      <c r="D385" s="8">
        <f>CHOOSE( CONTROL!$C$33, 10.3816, 10.3799) * CHOOSE( CONTROL!$C$16, $D$11, 100%, $F$11)</f>
        <v>10.381600000000001</v>
      </c>
      <c r="E385" s="12">
        <f>CHOOSE( CONTROL!$C$33, 10.3736, 10.3719) * CHOOSE( CONTROL!$C$16, $D$11, 100%, $F$11)</f>
        <v>10.3736</v>
      </c>
      <c r="F385" s="4">
        <f>CHOOSE( CONTROL!$C$33, 11.0824, 11.0807) * CHOOSE(CONTROL!$C$16, $D$11, 100%, $F$11)</f>
        <v>11.0824</v>
      </c>
      <c r="G385" s="8">
        <f>CHOOSE( CONTROL!$C$33, 10.2626, 10.261) * CHOOSE( CONTROL!$C$16, $D$11, 100%, $F$11)</f>
        <v>10.262600000000001</v>
      </c>
      <c r="H385" s="4">
        <f>CHOOSE( CONTROL!$C$33, 11.1992, 11.1976) * CHOOSE(CONTROL!$C$16, $D$11, 100%, $F$11)</f>
        <v>11.199199999999999</v>
      </c>
      <c r="I385" s="8">
        <f>CHOOSE( CONTROL!$C$33, 10.169, 10.1674) * CHOOSE(CONTROL!$C$16, $D$11, 100%, $F$11)</f>
        <v>10.169</v>
      </c>
      <c r="J385" s="4">
        <f>CHOOSE( CONTROL!$C$33, 10.0385, 10.0369) * CHOOSE(CONTROL!$C$16, $D$11, 100%, $F$11)</f>
        <v>10.038500000000001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1.2509999999999999</v>
      </c>
      <c r="Q385" s="9">
        <v>19.8018</v>
      </c>
      <c r="R385" s="9"/>
      <c r="S385" s="11"/>
    </row>
    <row r="386" spans="1:19" ht="15.75">
      <c r="A386" s="13">
        <v>52901</v>
      </c>
      <c r="B386" s="8">
        <f>CHOOSE( CONTROL!$C$33, 10.812, 10.8109) * CHOOSE(CONTROL!$C$16, $D$11, 100%, $F$11)</f>
        <v>10.811999999999999</v>
      </c>
      <c r="C386" s="8">
        <f>CHOOSE( CONTROL!$C$33, 10.8173, 10.8162) * CHOOSE(CONTROL!$C$16, $D$11, 100%, $F$11)</f>
        <v>10.817299999999999</v>
      </c>
      <c r="D386" s="8">
        <f>CHOOSE( CONTROL!$C$33, 10.8417, 10.8406) * CHOOSE( CONTROL!$C$16, $D$11, 100%, $F$11)</f>
        <v>10.841699999999999</v>
      </c>
      <c r="E386" s="12">
        <f>CHOOSE( CONTROL!$C$33, 10.8331, 10.832) * CHOOSE( CONTROL!$C$16, $D$11, 100%, $F$11)</f>
        <v>10.8331</v>
      </c>
      <c r="F386" s="4">
        <f>CHOOSE( CONTROL!$C$33, 11.5412, 11.5402) * CHOOSE(CONTROL!$C$16, $D$11, 100%, $F$11)</f>
        <v>11.5412</v>
      </c>
      <c r="G386" s="8">
        <f>CHOOSE( CONTROL!$C$33, 10.7163, 10.7152) * CHOOSE( CONTROL!$C$16, $D$11, 100%, $F$11)</f>
        <v>10.7163</v>
      </c>
      <c r="H386" s="4">
        <f>CHOOSE( CONTROL!$C$33, 11.6527, 11.6517) * CHOOSE(CONTROL!$C$16, $D$11, 100%, $F$11)</f>
        <v>11.652699999999999</v>
      </c>
      <c r="I386" s="8">
        <f>CHOOSE( CONTROL!$C$33, 10.6154, 10.6144) * CHOOSE(CONTROL!$C$16, $D$11, 100%, $F$11)</f>
        <v>10.615399999999999</v>
      </c>
      <c r="J386" s="4">
        <f>CHOOSE( CONTROL!$C$33, 10.4839, 10.4828) * CHOOSE(CONTROL!$C$16, $D$11, 100%, $F$11)</f>
        <v>10.4839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1.2927</v>
      </c>
      <c r="Q386" s="9">
        <v>20.4619</v>
      </c>
      <c r="R386" s="9"/>
      <c r="S386" s="11"/>
    </row>
    <row r="387" spans="1:19" ht="15.75">
      <c r="A387" s="13">
        <v>52931</v>
      </c>
      <c r="B387" s="8">
        <f>CHOOSE( CONTROL!$C$33, 11.6596, 11.6585) * CHOOSE(CONTROL!$C$16, $D$11, 100%, $F$11)</f>
        <v>11.659599999999999</v>
      </c>
      <c r="C387" s="8">
        <f>CHOOSE( CONTROL!$C$33, 11.6647, 11.6636) * CHOOSE(CONTROL!$C$16, $D$11, 100%, $F$11)</f>
        <v>11.6647</v>
      </c>
      <c r="D387" s="8">
        <f>CHOOSE( CONTROL!$C$33, 11.655, 11.654) * CHOOSE( CONTROL!$C$16, $D$11, 100%, $F$11)</f>
        <v>11.654999999999999</v>
      </c>
      <c r="E387" s="12">
        <f>CHOOSE( CONTROL!$C$33, 11.658, 11.657) * CHOOSE( CONTROL!$C$16, $D$11, 100%, $F$11)</f>
        <v>11.657999999999999</v>
      </c>
      <c r="F387" s="4">
        <f>CHOOSE( CONTROL!$C$33, 12.3197, 12.3186) * CHOOSE(CONTROL!$C$16, $D$11, 100%, $F$11)</f>
        <v>12.319699999999999</v>
      </c>
      <c r="G387" s="8">
        <f>CHOOSE( CONTROL!$C$33, 11.5409, 11.5399) * CHOOSE( CONTROL!$C$16, $D$11, 100%, $F$11)</f>
        <v>11.540900000000001</v>
      </c>
      <c r="H387" s="4">
        <f>CHOOSE( CONTROL!$C$33, 12.4221, 12.421) * CHOOSE(CONTROL!$C$16, $D$11, 100%, $F$11)</f>
        <v>12.4221</v>
      </c>
      <c r="I387" s="8">
        <f>CHOOSE( CONTROL!$C$33, 11.4982, 11.4971) * CHOOSE(CONTROL!$C$16, $D$11, 100%, $F$11)</f>
        <v>11.498200000000001</v>
      </c>
      <c r="J387" s="4">
        <f>CHOOSE( CONTROL!$C$33, 11.3069, 11.3058) * CHOOSE(CONTROL!$C$16, $D$11, 100%, $F$11)</f>
        <v>11.306900000000001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19.8018</v>
      </c>
      <c r="R387" s="9"/>
      <c r="S387" s="11"/>
    </row>
    <row r="388" spans="1:19" ht="15.75">
      <c r="A388" s="13">
        <v>52962</v>
      </c>
      <c r="B388" s="8">
        <f>CHOOSE( CONTROL!$C$33, 11.6384, 11.6373) * CHOOSE(CONTROL!$C$16, $D$11, 100%, $F$11)</f>
        <v>11.638400000000001</v>
      </c>
      <c r="C388" s="8">
        <f>CHOOSE( CONTROL!$C$33, 11.6435, 11.6424) * CHOOSE(CONTROL!$C$16, $D$11, 100%, $F$11)</f>
        <v>11.6435</v>
      </c>
      <c r="D388" s="8">
        <f>CHOOSE( CONTROL!$C$33, 11.6353, 11.6342) * CHOOSE( CONTROL!$C$16, $D$11, 100%, $F$11)</f>
        <v>11.635300000000001</v>
      </c>
      <c r="E388" s="12">
        <f>CHOOSE( CONTROL!$C$33, 11.6378, 11.6367) * CHOOSE( CONTROL!$C$16, $D$11, 100%, $F$11)</f>
        <v>11.6378</v>
      </c>
      <c r="F388" s="4">
        <f>CHOOSE( CONTROL!$C$33, 12.2985, 12.2974) * CHOOSE(CONTROL!$C$16, $D$11, 100%, $F$11)</f>
        <v>12.298500000000001</v>
      </c>
      <c r="G388" s="8">
        <f>CHOOSE( CONTROL!$C$33, 11.521, 11.52) * CHOOSE( CONTROL!$C$16, $D$11, 100%, $F$11)</f>
        <v>11.521000000000001</v>
      </c>
      <c r="H388" s="4">
        <f>CHOOSE( CONTROL!$C$33, 12.4011, 12.4001) * CHOOSE(CONTROL!$C$16, $D$11, 100%, $F$11)</f>
        <v>12.4011</v>
      </c>
      <c r="I388" s="8">
        <f>CHOOSE( CONTROL!$C$33, 11.4821, 11.481) * CHOOSE(CONTROL!$C$16, $D$11, 100%, $F$11)</f>
        <v>11.482100000000001</v>
      </c>
      <c r="J388" s="4">
        <f>CHOOSE( CONTROL!$C$33, 11.2863, 11.2853) * CHOOSE(CONTROL!$C$16, $D$11, 100%, $F$11)</f>
        <v>11.286300000000001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20.4619</v>
      </c>
      <c r="R388" s="9"/>
      <c r="S388" s="11"/>
    </row>
    <row r="389" spans="1:19" ht="15.75">
      <c r="A389" s="13">
        <v>52993</v>
      </c>
      <c r="B389" s="8">
        <f>CHOOSE( CONTROL!$C$33, 11.9814, 11.9803) * CHOOSE(CONTROL!$C$16, $D$11, 100%, $F$11)</f>
        <v>11.981400000000001</v>
      </c>
      <c r="C389" s="8">
        <f>CHOOSE( CONTROL!$C$33, 11.9865, 11.9854) * CHOOSE(CONTROL!$C$16, $D$11, 100%, $F$11)</f>
        <v>11.986499999999999</v>
      </c>
      <c r="D389" s="8">
        <f>CHOOSE( CONTROL!$C$33, 11.9891, 11.988) * CHOOSE( CONTROL!$C$16, $D$11, 100%, $F$11)</f>
        <v>11.989100000000001</v>
      </c>
      <c r="E389" s="12">
        <f>CHOOSE( CONTROL!$C$33, 11.9876, 11.9865) * CHOOSE( CONTROL!$C$16, $D$11, 100%, $F$11)</f>
        <v>11.9876</v>
      </c>
      <c r="F389" s="4">
        <f>CHOOSE( CONTROL!$C$33, 12.6415, 12.6404) * CHOOSE(CONTROL!$C$16, $D$11, 100%, $F$11)</f>
        <v>12.641500000000001</v>
      </c>
      <c r="G389" s="8">
        <f>CHOOSE( CONTROL!$C$33, 11.8628, 11.8618) * CHOOSE( CONTROL!$C$16, $D$11, 100%, $F$11)</f>
        <v>11.8628</v>
      </c>
      <c r="H389" s="4">
        <f>CHOOSE( CONTROL!$C$33, 12.7401, 12.739) * CHOOSE(CONTROL!$C$16, $D$11, 100%, $F$11)</f>
        <v>12.7401</v>
      </c>
      <c r="I389" s="8">
        <f>CHOOSE( CONTROL!$C$33, 11.7866, 11.7855) * CHOOSE(CONTROL!$C$16, $D$11, 100%, $F$11)</f>
        <v>11.7866</v>
      </c>
      <c r="J389" s="4">
        <f>CHOOSE( CONTROL!$C$33, 11.6192, 11.6181) * CHOOSE(CONTROL!$C$16, $D$11, 100%, $F$11)</f>
        <v>11.619199999999999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20.396799999999999</v>
      </c>
      <c r="R389" s="9"/>
      <c r="S389" s="11"/>
    </row>
    <row r="390" spans="1:19" ht="15.75">
      <c r="A390" s="13">
        <v>53021</v>
      </c>
      <c r="B390" s="8">
        <f>CHOOSE( CONTROL!$C$33, 11.2075, 11.2064) * CHOOSE(CONTROL!$C$16, $D$11, 100%, $F$11)</f>
        <v>11.2075</v>
      </c>
      <c r="C390" s="8">
        <f>CHOOSE( CONTROL!$C$33, 11.2125, 11.2115) * CHOOSE(CONTROL!$C$16, $D$11, 100%, $F$11)</f>
        <v>11.2125</v>
      </c>
      <c r="D390" s="8">
        <f>CHOOSE( CONTROL!$C$33, 11.2151, 11.214) * CHOOSE( CONTROL!$C$16, $D$11, 100%, $F$11)</f>
        <v>11.2151</v>
      </c>
      <c r="E390" s="12">
        <f>CHOOSE( CONTROL!$C$33, 11.2136, 11.2125) * CHOOSE( CONTROL!$C$16, $D$11, 100%, $F$11)</f>
        <v>11.2136</v>
      </c>
      <c r="F390" s="4">
        <f>CHOOSE( CONTROL!$C$33, 11.8676, 11.8665) * CHOOSE(CONTROL!$C$16, $D$11, 100%, $F$11)</f>
        <v>11.867599999999999</v>
      </c>
      <c r="G390" s="8">
        <f>CHOOSE( CONTROL!$C$33, 11.0979, 11.0968) * CHOOSE( CONTROL!$C$16, $D$11, 100%, $F$11)</f>
        <v>11.097899999999999</v>
      </c>
      <c r="H390" s="4">
        <f>CHOOSE( CONTROL!$C$33, 11.9753, 11.9742) * CHOOSE(CONTROL!$C$16, $D$11, 100%, $F$11)</f>
        <v>11.975300000000001</v>
      </c>
      <c r="I390" s="8">
        <f>CHOOSE( CONTROL!$C$33, 11.0349, 11.0338) * CHOOSE(CONTROL!$C$16, $D$11, 100%, $F$11)</f>
        <v>11.0349</v>
      </c>
      <c r="J390" s="4">
        <f>CHOOSE( CONTROL!$C$33, 10.8681, 10.867) * CHOOSE(CONTROL!$C$16, $D$11, 100%, $F$11)</f>
        <v>10.8681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18.422899999999998</v>
      </c>
      <c r="R390" s="9"/>
      <c r="S390" s="11"/>
    </row>
    <row r="391" spans="1:19" ht="15.75">
      <c r="A391" s="13">
        <v>53052</v>
      </c>
      <c r="B391" s="8">
        <f>CHOOSE( CONTROL!$C$33, 10.9691, 10.968) * CHOOSE(CONTROL!$C$16, $D$11, 100%, $F$11)</f>
        <v>10.969099999999999</v>
      </c>
      <c r="C391" s="8">
        <f>CHOOSE( CONTROL!$C$33, 10.9742, 10.9731) * CHOOSE(CONTROL!$C$16, $D$11, 100%, $F$11)</f>
        <v>10.9742</v>
      </c>
      <c r="D391" s="8">
        <f>CHOOSE( CONTROL!$C$33, 10.976, 10.975) * CHOOSE( CONTROL!$C$16, $D$11, 100%, $F$11)</f>
        <v>10.976000000000001</v>
      </c>
      <c r="E391" s="12">
        <f>CHOOSE( CONTROL!$C$33, 10.9748, 10.9738) * CHOOSE( CONTROL!$C$16, $D$11, 100%, $F$11)</f>
        <v>10.9748</v>
      </c>
      <c r="F391" s="4">
        <f>CHOOSE( CONTROL!$C$33, 11.6292, 11.6281) * CHOOSE(CONTROL!$C$16, $D$11, 100%, $F$11)</f>
        <v>11.629200000000001</v>
      </c>
      <c r="G391" s="8">
        <f>CHOOSE( CONTROL!$C$33, 10.8619, 10.8608) * CHOOSE( CONTROL!$C$16, $D$11, 100%, $F$11)</f>
        <v>10.8619</v>
      </c>
      <c r="H391" s="4">
        <f>CHOOSE( CONTROL!$C$33, 11.7397, 11.7386) * CHOOSE(CONTROL!$C$16, $D$11, 100%, $F$11)</f>
        <v>11.739699999999999</v>
      </c>
      <c r="I391" s="8">
        <f>CHOOSE( CONTROL!$C$33, 10.8013, 10.8002) * CHOOSE(CONTROL!$C$16, $D$11, 100%, $F$11)</f>
        <v>10.801299999999999</v>
      </c>
      <c r="J391" s="4">
        <f>CHOOSE( CONTROL!$C$33, 10.6368, 10.6357) * CHOOSE(CONTROL!$C$16, $D$11, 100%, $F$11)</f>
        <v>10.636799999999999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20.396799999999999</v>
      </c>
      <c r="R391" s="9"/>
      <c r="S391" s="11"/>
    </row>
    <row r="392" spans="1:19" ht="15.75">
      <c r="A392" s="13">
        <v>53082</v>
      </c>
      <c r="B392" s="8">
        <f>CHOOSE( CONTROL!$C$33, 11.1364, 11.1353) * CHOOSE(CONTROL!$C$16, $D$11, 100%, $F$11)</f>
        <v>11.1364</v>
      </c>
      <c r="C392" s="8">
        <f>CHOOSE( CONTROL!$C$33, 11.1409, 11.1398) * CHOOSE(CONTROL!$C$16, $D$11, 100%, $F$11)</f>
        <v>11.1409</v>
      </c>
      <c r="D392" s="8">
        <f>CHOOSE( CONTROL!$C$33, 11.1653, 11.1642) * CHOOSE( CONTROL!$C$16, $D$11, 100%, $F$11)</f>
        <v>11.1653</v>
      </c>
      <c r="E392" s="12">
        <f>CHOOSE( CONTROL!$C$33, 11.1567, 11.1556) * CHOOSE( CONTROL!$C$16, $D$11, 100%, $F$11)</f>
        <v>11.156700000000001</v>
      </c>
      <c r="F392" s="4">
        <f>CHOOSE( CONTROL!$C$33, 11.8653, 11.8643) * CHOOSE(CONTROL!$C$16, $D$11, 100%, $F$11)</f>
        <v>11.8653</v>
      </c>
      <c r="G392" s="8">
        <f>CHOOSE( CONTROL!$C$33, 11.0362, 11.0351) * CHOOSE( CONTROL!$C$16, $D$11, 100%, $F$11)</f>
        <v>11.036199999999999</v>
      </c>
      <c r="H392" s="4">
        <f>CHOOSE( CONTROL!$C$33, 11.973, 11.972) * CHOOSE(CONTROL!$C$16, $D$11, 100%, $F$11)</f>
        <v>11.973000000000001</v>
      </c>
      <c r="I392" s="8">
        <f>CHOOSE( CONTROL!$C$33, 10.9283, 10.9272) * CHOOSE(CONTROL!$C$16, $D$11, 100%, $F$11)</f>
        <v>10.9283</v>
      </c>
      <c r="J392" s="4">
        <f>CHOOSE( CONTROL!$C$33, 10.7984, 10.7974) * CHOOSE(CONTROL!$C$16, $D$11, 100%, $F$11)</f>
        <v>10.798400000000001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1.2509999999999999</v>
      </c>
      <c r="Q392" s="9">
        <v>19.738800000000001</v>
      </c>
      <c r="R392" s="9"/>
      <c r="S392" s="11"/>
    </row>
    <row r="393" spans="1:19" ht="15.75">
      <c r="A393" s="13">
        <v>53113</v>
      </c>
      <c r="B393" s="8">
        <f>CHOOSE( CONTROL!$C$33, 11.4348, 11.4332) * CHOOSE(CONTROL!$C$16, $D$11, 100%, $F$11)</f>
        <v>11.434799999999999</v>
      </c>
      <c r="C393" s="8">
        <f>CHOOSE( CONTROL!$C$33, 11.4428, 11.4411) * CHOOSE(CONTROL!$C$16, $D$11, 100%, $F$11)</f>
        <v>11.4428</v>
      </c>
      <c r="D393" s="8">
        <f>CHOOSE( CONTROL!$C$33, 11.4611, 11.4594) * CHOOSE( CONTROL!$C$16, $D$11, 100%, $F$11)</f>
        <v>11.4611</v>
      </c>
      <c r="E393" s="12">
        <f>CHOOSE( CONTROL!$C$33, 11.4532, 11.4516) * CHOOSE( CONTROL!$C$16, $D$11, 100%, $F$11)</f>
        <v>11.453200000000001</v>
      </c>
      <c r="F393" s="4">
        <f>CHOOSE( CONTROL!$C$33, 12.1624, 12.1607) * CHOOSE(CONTROL!$C$16, $D$11, 100%, $F$11)</f>
        <v>12.1624</v>
      </c>
      <c r="G393" s="8">
        <f>CHOOSE( CONTROL!$C$33, 11.3296, 11.328) * CHOOSE( CONTROL!$C$16, $D$11, 100%, $F$11)</f>
        <v>11.329599999999999</v>
      </c>
      <c r="H393" s="4">
        <f>CHOOSE( CONTROL!$C$33, 12.2666, 12.2649) * CHOOSE(CONTROL!$C$16, $D$11, 100%, $F$11)</f>
        <v>12.2666</v>
      </c>
      <c r="I393" s="8">
        <f>CHOOSE( CONTROL!$C$33, 11.2161, 11.2145) * CHOOSE(CONTROL!$C$16, $D$11, 100%, $F$11)</f>
        <v>11.216100000000001</v>
      </c>
      <c r="J393" s="4">
        <f>CHOOSE( CONTROL!$C$33, 11.0867, 11.0851) * CHOOSE(CONTROL!$C$16, $D$11, 100%, $F$11)</f>
        <v>11.0867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1.2927</v>
      </c>
      <c r="Q393" s="9">
        <v>20.396799999999999</v>
      </c>
      <c r="R393" s="9"/>
      <c r="S393" s="11"/>
    </row>
    <row r="394" spans="1:19" ht="15.75">
      <c r="A394" s="13">
        <v>53143</v>
      </c>
      <c r="B394" s="8">
        <f>CHOOSE( CONTROL!$C$33, 11.2512, 11.2495) * CHOOSE(CONTROL!$C$16, $D$11, 100%, $F$11)</f>
        <v>11.251200000000001</v>
      </c>
      <c r="C394" s="8">
        <f>CHOOSE( CONTROL!$C$33, 11.2591, 11.2575) * CHOOSE(CONTROL!$C$16, $D$11, 100%, $F$11)</f>
        <v>11.2591</v>
      </c>
      <c r="D394" s="8">
        <f>CHOOSE( CONTROL!$C$33, 11.2777, 11.276) * CHOOSE( CONTROL!$C$16, $D$11, 100%, $F$11)</f>
        <v>11.277699999999999</v>
      </c>
      <c r="E394" s="12">
        <f>CHOOSE( CONTROL!$C$33, 11.2698, 11.2681) * CHOOSE( CONTROL!$C$16, $D$11, 100%, $F$11)</f>
        <v>11.2698</v>
      </c>
      <c r="F394" s="4">
        <f>CHOOSE( CONTROL!$C$33, 11.9787, 11.9771) * CHOOSE(CONTROL!$C$16, $D$11, 100%, $F$11)</f>
        <v>11.9787</v>
      </c>
      <c r="G394" s="8">
        <f>CHOOSE( CONTROL!$C$33, 11.1483, 11.1467) * CHOOSE( CONTROL!$C$16, $D$11, 100%, $F$11)</f>
        <v>11.148300000000001</v>
      </c>
      <c r="H394" s="4">
        <f>CHOOSE( CONTROL!$C$33, 12.0851, 12.0834) * CHOOSE(CONTROL!$C$16, $D$11, 100%, $F$11)</f>
        <v>12.085100000000001</v>
      </c>
      <c r="I394" s="8">
        <f>CHOOSE( CONTROL!$C$33, 11.0386, 11.037) * CHOOSE(CONTROL!$C$16, $D$11, 100%, $F$11)</f>
        <v>11.038600000000001</v>
      </c>
      <c r="J394" s="4">
        <f>CHOOSE( CONTROL!$C$33, 10.9084, 10.9068) * CHOOSE(CONTROL!$C$16, $D$11, 100%, $F$11)</f>
        <v>10.9084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1.2509999999999999</v>
      </c>
      <c r="Q394" s="9">
        <v>19.738800000000001</v>
      </c>
      <c r="R394" s="9"/>
      <c r="S394" s="11"/>
    </row>
    <row r="395" spans="1:19" ht="15.75">
      <c r="A395" s="13">
        <v>53174</v>
      </c>
      <c r="B395" s="8">
        <f>CHOOSE( CONTROL!$C$33, 11.7348, 11.7331) * CHOOSE(CONTROL!$C$16, $D$11, 100%, $F$11)</f>
        <v>11.7348</v>
      </c>
      <c r="C395" s="8">
        <f>CHOOSE( CONTROL!$C$33, 11.7427, 11.7411) * CHOOSE(CONTROL!$C$16, $D$11, 100%, $F$11)</f>
        <v>11.742699999999999</v>
      </c>
      <c r="D395" s="8">
        <f>CHOOSE( CONTROL!$C$33, 11.7615, 11.7599) * CHOOSE( CONTROL!$C$16, $D$11, 100%, $F$11)</f>
        <v>11.7615</v>
      </c>
      <c r="E395" s="12">
        <f>CHOOSE( CONTROL!$C$33, 11.7535, 11.7519) * CHOOSE( CONTROL!$C$16, $D$11, 100%, $F$11)</f>
        <v>11.753500000000001</v>
      </c>
      <c r="F395" s="4">
        <f>CHOOSE( CONTROL!$C$33, 12.4623, 12.4607) * CHOOSE(CONTROL!$C$16, $D$11, 100%, $F$11)</f>
        <v>12.462300000000001</v>
      </c>
      <c r="G395" s="8">
        <f>CHOOSE( CONTROL!$C$33, 11.6264, 11.6248) * CHOOSE( CONTROL!$C$16, $D$11, 100%, $F$11)</f>
        <v>11.6264</v>
      </c>
      <c r="H395" s="4">
        <f>CHOOSE( CONTROL!$C$33, 12.563, 12.5614) * CHOOSE(CONTROL!$C$16, $D$11, 100%, $F$11)</f>
        <v>12.563000000000001</v>
      </c>
      <c r="I395" s="8">
        <f>CHOOSE( CONTROL!$C$33, 11.509, 11.5074) * CHOOSE(CONTROL!$C$16, $D$11, 100%, $F$11)</f>
        <v>11.509</v>
      </c>
      <c r="J395" s="4">
        <f>CHOOSE( CONTROL!$C$33, 11.3778, 11.3762) * CHOOSE(CONTROL!$C$16, $D$11, 100%, $F$11)</f>
        <v>11.377800000000001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1.2927</v>
      </c>
      <c r="Q395" s="9">
        <v>20.396799999999999</v>
      </c>
      <c r="R395" s="9"/>
      <c r="S395" s="11"/>
    </row>
    <row r="396" spans="1:19" ht="15.75">
      <c r="A396" s="13">
        <v>53205</v>
      </c>
      <c r="B396" s="8">
        <f>CHOOSE( CONTROL!$C$33, 10.8299, 10.8283) * CHOOSE(CONTROL!$C$16, $D$11, 100%, $F$11)</f>
        <v>10.8299</v>
      </c>
      <c r="C396" s="8">
        <f>CHOOSE( CONTROL!$C$33, 10.8379, 10.8362) * CHOOSE(CONTROL!$C$16, $D$11, 100%, $F$11)</f>
        <v>10.837899999999999</v>
      </c>
      <c r="D396" s="8">
        <f>CHOOSE( CONTROL!$C$33, 10.8568, 10.8551) * CHOOSE( CONTROL!$C$16, $D$11, 100%, $F$11)</f>
        <v>10.8568</v>
      </c>
      <c r="E396" s="12">
        <f>CHOOSE( CONTROL!$C$33, 10.8487, 10.847) * CHOOSE( CONTROL!$C$16, $D$11, 100%, $F$11)</f>
        <v>10.848699999999999</v>
      </c>
      <c r="F396" s="4">
        <f>CHOOSE( CONTROL!$C$33, 11.5575, 11.5558) * CHOOSE(CONTROL!$C$16, $D$11, 100%, $F$11)</f>
        <v>11.557499999999999</v>
      </c>
      <c r="G396" s="8">
        <f>CHOOSE( CONTROL!$C$33, 10.7322, 10.7306) * CHOOSE( CONTROL!$C$16, $D$11, 100%, $F$11)</f>
        <v>10.732200000000001</v>
      </c>
      <c r="H396" s="4">
        <f>CHOOSE( CONTROL!$C$33, 11.6688, 11.6671) * CHOOSE(CONTROL!$C$16, $D$11, 100%, $F$11)</f>
        <v>11.668799999999999</v>
      </c>
      <c r="I396" s="8">
        <f>CHOOSE( CONTROL!$C$33, 10.6307, 10.6291) * CHOOSE(CONTROL!$C$16, $D$11, 100%, $F$11)</f>
        <v>10.630699999999999</v>
      </c>
      <c r="J396" s="4">
        <f>CHOOSE( CONTROL!$C$33, 10.4996, 10.498) * CHOOSE(CONTROL!$C$16, $D$11, 100%, $F$11)</f>
        <v>10.499599999999999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1.2927</v>
      </c>
      <c r="Q396" s="9">
        <v>20.396799999999999</v>
      </c>
      <c r="R396" s="9"/>
      <c r="S396" s="11"/>
    </row>
    <row r="397" spans="1:19" ht="15.75">
      <c r="A397" s="13">
        <v>53235</v>
      </c>
      <c r="B397" s="8">
        <f>CHOOSE( CONTROL!$C$33, 10.6033, 10.6017) * CHOOSE(CONTROL!$C$16, $D$11, 100%, $F$11)</f>
        <v>10.603300000000001</v>
      </c>
      <c r="C397" s="8">
        <f>CHOOSE( CONTROL!$C$33, 10.6113, 10.6096) * CHOOSE(CONTROL!$C$16, $D$11, 100%, $F$11)</f>
        <v>10.6113</v>
      </c>
      <c r="D397" s="8">
        <f>CHOOSE( CONTROL!$C$33, 10.6301, 10.6284) * CHOOSE( CONTROL!$C$16, $D$11, 100%, $F$11)</f>
        <v>10.630100000000001</v>
      </c>
      <c r="E397" s="12">
        <f>CHOOSE( CONTROL!$C$33, 10.6221, 10.6204) * CHOOSE( CONTROL!$C$16, $D$11, 100%, $F$11)</f>
        <v>10.6221</v>
      </c>
      <c r="F397" s="4">
        <f>CHOOSE( CONTROL!$C$33, 11.3309, 11.3292) * CHOOSE(CONTROL!$C$16, $D$11, 100%, $F$11)</f>
        <v>11.3309</v>
      </c>
      <c r="G397" s="8">
        <f>CHOOSE( CONTROL!$C$33, 10.5082, 10.5066) * CHOOSE( CONTROL!$C$16, $D$11, 100%, $F$11)</f>
        <v>10.5082</v>
      </c>
      <c r="H397" s="4">
        <f>CHOOSE( CONTROL!$C$33, 11.4448, 11.4432) * CHOOSE(CONTROL!$C$16, $D$11, 100%, $F$11)</f>
        <v>11.444800000000001</v>
      </c>
      <c r="I397" s="8">
        <f>CHOOSE( CONTROL!$C$33, 10.4103, 10.4087) * CHOOSE(CONTROL!$C$16, $D$11, 100%, $F$11)</f>
        <v>10.410299999999999</v>
      </c>
      <c r="J397" s="4">
        <f>CHOOSE( CONTROL!$C$33, 10.2797, 10.2781) * CHOOSE(CONTROL!$C$16, $D$11, 100%, $F$11)</f>
        <v>10.2797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1.2509999999999999</v>
      </c>
      <c r="Q397" s="9">
        <v>19.738800000000001</v>
      </c>
      <c r="R397" s="9"/>
      <c r="S397" s="11"/>
    </row>
    <row r="398" spans="1:19" ht="15.75">
      <c r="A398" s="13">
        <v>53266</v>
      </c>
      <c r="B398" s="8">
        <f>CHOOSE( CONTROL!$C$33, 11.0715, 11.0704) * CHOOSE(CONTROL!$C$16, $D$11, 100%, $F$11)</f>
        <v>11.0715</v>
      </c>
      <c r="C398" s="8">
        <f>CHOOSE( CONTROL!$C$33, 11.0768, 11.0757) * CHOOSE(CONTROL!$C$16, $D$11, 100%, $F$11)</f>
        <v>11.0768</v>
      </c>
      <c r="D398" s="8">
        <f>CHOOSE( CONTROL!$C$33, 11.1012, 11.1002) * CHOOSE( CONTROL!$C$16, $D$11, 100%, $F$11)</f>
        <v>11.1012</v>
      </c>
      <c r="E398" s="12">
        <f>CHOOSE( CONTROL!$C$33, 11.0926, 11.0915) * CHOOSE( CONTROL!$C$16, $D$11, 100%, $F$11)</f>
        <v>11.092599999999999</v>
      </c>
      <c r="F398" s="4">
        <f>CHOOSE( CONTROL!$C$33, 11.8008, 11.7997) * CHOOSE(CONTROL!$C$16, $D$11, 100%, $F$11)</f>
        <v>11.800800000000001</v>
      </c>
      <c r="G398" s="8">
        <f>CHOOSE( CONTROL!$C$33, 10.9728, 10.9717) * CHOOSE( CONTROL!$C$16, $D$11, 100%, $F$11)</f>
        <v>10.972799999999999</v>
      </c>
      <c r="H398" s="4">
        <f>CHOOSE( CONTROL!$C$33, 11.9092, 11.9081) * CHOOSE(CONTROL!$C$16, $D$11, 100%, $F$11)</f>
        <v>11.9092</v>
      </c>
      <c r="I398" s="8">
        <f>CHOOSE( CONTROL!$C$33, 10.8674, 10.8664) * CHOOSE(CONTROL!$C$16, $D$11, 100%, $F$11)</f>
        <v>10.8674</v>
      </c>
      <c r="J398" s="4">
        <f>CHOOSE( CONTROL!$C$33, 10.7357, 10.7347) * CHOOSE(CONTROL!$C$16, $D$11, 100%, $F$11)</f>
        <v>10.7357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1.2927</v>
      </c>
      <c r="Q398" s="9">
        <v>20.396799999999999</v>
      </c>
      <c r="R398" s="9"/>
      <c r="S398" s="11"/>
    </row>
    <row r="399" spans="1:19" ht="15.75">
      <c r="A399" s="13">
        <v>53296</v>
      </c>
      <c r="B399" s="8">
        <f>CHOOSE( CONTROL!$C$33, 11.9395, 11.9384) * CHOOSE(CONTROL!$C$16, $D$11, 100%, $F$11)</f>
        <v>11.939500000000001</v>
      </c>
      <c r="C399" s="8">
        <f>CHOOSE( CONTROL!$C$33, 11.9446, 11.9435) * CHOOSE(CONTROL!$C$16, $D$11, 100%, $F$11)</f>
        <v>11.944599999999999</v>
      </c>
      <c r="D399" s="8">
        <f>CHOOSE( CONTROL!$C$33, 11.935, 11.9339) * CHOOSE( CONTROL!$C$16, $D$11, 100%, $F$11)</f>
        <v>11.935</v>
      </c>
      <c r="E399" s="12">
        <f>CHOOSE( CONTROL!$C$33, 11.938, 11.9369) * CHOOSE( CONTROL!$C$16, $D$11, 100%, $F$11)</f>
        <v>11.938000000000001</v>
      </c>
      <c r="F399" s="4">
        <f>CHOOSE( CONTROL!$C$33, 12.5996, 12.5985) * CHOOSE(CONTROL!$C$16, $D$11, 100%, $F$11)</f>
        <v>12.599600000000001</v>
      </c>
      <c r="G399" s="8">
        <f>CHOOSE( CONTROL!$C$33, 11.8176, 11.8165) * CHOOSE( CONTROL!$C$16, $D$11, 100%, $F$11)</f>
        <v>11.817600000000001</v>
      </c>
      <c r="H399" s="4">
        <f>CHOOSE( CONTROL!$C$33, 12.6987, 12.6976) * CHOOSE(CONTROL!$C$16, $D$11, 100%, $F$11)</f>
        <v>12.698700000000001</v>
      </c>
      <c r="I399" s="8">
        <f>CHOOSE( CONTROL!$C$33, 11.77, 11.7689) * CHOOSE(CONTROL!$C$16, $D$11, 100%, $F$11)</f>
        <v>11.77</v>
      </c>
      <c r="J399" s="4">
        <f>CHOOSE( CONTROL!$C$33, 11.5785, 11.5775) * CHOOSE(CONTROL!$C$16, $D$11, 100%, $F$11)</f>
        <v>11.5785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19.738800000000001</v>
      </c>
      <c r="R399" s="9"/>
      <c r="S399" s="11"/>
    </row>
    <row r="400" spans="1:19" ht="15.75">
      <c r="A400" s="13">
        <v>53327</v>
      </c>
      <c r="B400" s="8">
        <f>CHOOSE( CONTROL!$C$33, 11.9178, 11.9167) * CHOOSE(CONTROL!$C$16, $D$11, 100%, $F$11)</f>
        <v>11.9178</v>
      </c>
      <c r="C400" s="8">
        <f>CHOOSE( CONTROL!$C$33, 11.9229, 11.9218) * CHOOSE(CONTROL!$C$16, $D$11, 100%, $F$11)</f>
        <v>11.9229</v>
      </c>
      <c r="D400" s="8">
        <f>CHOOSE( CONTROL!$C$33, 11.9147, 11.9136) * CHOOSE( CONTROL!$C$16, $D$11, 100%, $F$11)</f>
        <v>11.9147</v>
      </c>
      <c r="E400" s="12">
        <f>CHOOSE( CONTROL!$C$33, 11.9172, 11.9161) * CHOOSE( CONTROL!$C$16, $D$11, 100%, $F$11)</f>
        <v>11.917199999999999</v>
      </c>
      <c r="F400" s="4">
        <f>CHOOSE( CONTROL!$C$33, 12.5779, 12.5768) * CHOOSE(CONTROL!$C$16, $D$11, 100%, $F$11)</f>
        <v>12.5779</v>
      </c>
      <c r="G400" s="8">
        <f>CHOOSE( CONTROL!$C$33, 11.7972, 11.7961) * CHOOSE( CONTROL!$C$16, $D$11, 100%, $F$11)</f>
        <v>11.7972</v>
      </c>
      <c r="H400" s="4">
        <f>CHOOSE( CONTROL!$C$33, 12.6773, 12.6762) * CHOOSE(CONTROL!$C$16, $D$11, 100%, $F$11)</f>
        <v>12.677300000000001</v>
      </c>
      <c r="I400" s="8">
        <f>CHOOSE( CONTROL!$C$33, 11.7534, 11.7523) * CHOOSE(CONTROL!$C$16, $D$11, 100%, $F$11)</f>
        <v>11.753399999999999</v>
      </c>
      <c r="J400" s="4">
        <f>CHOOSE( CONTROL!$C$33, 11.5575, 11.5564) * CHOOSE(CONTROL!$C$16, $D$11, 100%, $F$11)</f>
        <v>11.557499999999999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20.396799999999999</v>
      </c>
      <c r="R400" s="9"/>
      <c r="S400" s="11"/>
    </row>
    <row r="401" spans="1:19" ht="15.75">
      <c r="A401" s="13">
        <v>53358</v>
      </c>
      <c r="B401" s="8">
        <f>CHOOSE( CONTROL!$C$33, 12.269, 12.2679) * CHOOSE(CONTROL!$C$16, $D$11, 100%, $F$11)</f>
        <v>12.269</v>
      </c>
      <c r="C401" s="8">
        <f>CHOOSE( CONTROL!$C$33, 12.2741, 12.273) * CHOOSE(CONTROL!$C$16, $D$11, 100%, $F$11)</f>
        <v>12.274100000000001</v>
      </c>
      <c r="D401" s="8">
        <f>CHOOSE( CONTROL!$C$33, 12.2767, 12.2757) * CHOOSE( CONTROL!$C$16, $D$11, 100%, $F$11)</f>
        <v>12.2767</v>
      </c>
      <c r="E401" s="12">
        <f>CHOOSE( CONTROL!$C$33, 12.2752, 12.2742) * CHOOSE( CONTROL!$C$16, $D$11, 100%, $F$11)</f>
        <v>12.2752</v>
      </c>
      <c r="F401" s="4">
        <f>CHOOSE( CONTROL!$C$33, 12.9292, 12.9281) * CHOOSE(CONTROL!$C$16, $D$11, 100%, $F$11)</f>
        <v>12.9292</v>
      </c>
      <c r="G401" s="8">
        <f>CHOOSE( CONTROL!$C$33, 12.1471, 12.146) * CHOOSE( CONTROL!$C$16, $D$11, 100%, $F$11)</f>
        <v>12.1471</v>
      </c>
      <c r="H401" s="4">
        <f>CHOOSE( CONTROL!$C$33, 13.0244, 13.0233) * CHOOSE(CONTROL!$C$16, $D$11, 100%, $F$11)</f>
        <v>13.0244</v>
      </c>
      <c r="I401" s="8">
        <f>CHOOSE( CONTROL!$C$33, 12.0659, 12.0648) * CHOOSE(CONTROL!$C$16, $D$11, 100%, $F$11)</f>
        <v>12.065899999999999</v>
      </c>
      <c r="J401" s="4">
        <f>CHOOSE( CONTROL!$C$33, 11.8983, 11.8973) * CHOOSE(CONTROL!$C$16, $D$11, 100%, $F$11)</f>
        <v>11.898300000000001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20.331700000000001</v>
      </c>
      <c r="R401" s="9"/>
      <c r="S401" s="11"/>
    </row>
    <row r="402" spans="1:19" ht="15.75">
      <c r="A402" s="13">
        <v>53386</v>
      </c>
      <c r="B402" s="8">
        <f>CHOOSE( CONTROL!$C$33, 11.4765, 11.4754) * CHOOSE(CONTROL!$C$16, $D$11, 100%, $F$11)</f>
        <v>11.4765</v>
      </c>
      <c r="C402" s="8">
        <f>CHOOSE( CONTROL!$C$33, 11.4816, 11.4805) * CHOOSE(CONTROL!$C$16, $D$11, 100%, $F$11)</f>
        <v>11.4816</v>
      </c>
      <c r="D402" s="8">
        <f>CHOOSE( CONTROL!$C$33, 11.4841, 11.4831) * CHOOSE( CONTROL!$C$16, $D$11, 100%, $F$11)</f>
        <v>11.4841</v>
      </c>
      <c r="E402" s="12">
        <f>CHOOSE( CONTROL!$C$33, 11.4826, 11.4816) * CHOOSE( CONTROL!$C$16, $D$11, 100%, $F$11)</f>
        <v>11.4826</v>
      </c>
      <c r="F402" s="4">
        <f>CHOOSE( CONTROL!$C$33, 12.1366, 12.1356) * CHOOSE(CONTROL!$C$16, $D$11, 100%, $F$11)</f>
        <v>12.1366</v>
      </c>
      <c r="G402" s="8">
        <f>CHOOSE( CONTROL!$C$33, 11.3638, 11.3627) * CHOOSE( CONTROL!$C$16, $D$11, 100%, $F$11)</f>
        <v>11.363799999999999</v>
      </c>
      <c r="H402" s="4">
        <f>CHOOSE( CONTROL!$C$33, 12.2411, 12.2401) * CHOOSE(CONTROL!$C$16, $D$11, 100%, $F$11)</f>
        <v>12.241099999999999</v>
      </c>
      <c r="I402" s="8">
        <f>CHOOSE( CONTROL!$C$33, 11.2961, 11.295) * CHOOSE(CONTROL!$C$16, $D$11, 100%, $F$11)</f>
        <v>11.296099999999999</v>
      </c>
      <c r="J402" s="4">
        <f>CHOOSE( CONTROL!$C$33, 11.1292, 11.1281) * CHOOSE(CONTROL!$C$16, $D$11, 100%, $F$11)</f>
        <v>11.129200000000001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18.364100000000001</v>
      </c>
      <c r="R402" s="9"/>
      <c r="S402" s="11"/>
    </row>
    <row r="403" spans="1:19" ht="15.75">
      <c r="A403" s="13">
        <v>53417</v>
      </c>
      <c r="B403" s="8">
        <f>CHOOSE( CONTROL!$C$33, 11.2324, 11.2313) * CHOOSE(CONTROL!$C$16, $D$11, 100%, $F$11)</f>
        <v>11.2324</v>
      </c>
      <c r="C403" s="8">
        <f>CHOOSE( CONTROL!$C$33, 11.2375, 11.2364) * CHOOSE(CONTROL!$C$16, $D$11, 100%, $F$11)</f>
        <v>11.237500000000001</v>
      </c>
      <c r="D403" s="8">
        <f>CHOOSE( CONTROL!$C$33, 11.2394, 11.2383) * CHOOSE( CONTROL!$C$16, $D$11, 100%, $F$11)</f>
        <v>11.2394</v>
      </c>
      <c r="E403" s="12">
        <f>CHOOSE( CONTROL!$C$33, 11.2382, 11.2371) * CHOOSE( CONTROL!$C$16, $D$11, 100%, $F$11)</f>
        <v>11.238200000000001</v>
      </c>
      <c r="F403" s="4">
        <f>CHOOSE( CONTROL!$C$33, 11.8925, 11.8915) * CHOOSE(CONTROL!$C$16, $D$11, 100%, $F$11)</f>
        <v>11.8925</v>
      </c>
      <c r="G403" s="8">
        <f>CHOOSE( CONTROL!$C$33, 11.1221, 11.121) * CHOOSE( CONTROL!$C$16, $D$11, 100%, $F$11)</f>
        <v>11.1221</v>
      </c>
      <c r="H403" s="4">
        <f>CHOOSE( CONTROL!$C$33, 11.9999, 11.9988) * CHOOSE(CONTROL!$C$16, $D$11, 100%, $F$11)</f>
        <v>11.9999</v>
      </c>
      <c r="I403" s="8">
        <f>CHOOSE( CONTROL!$C$33, 11.057, 11.0559) * CHOOSE(CONTROL!$C$16, $D$11, 100%, $F$11)</f>
        <v>11.057</v>
      </c>
      <c r="J403" s="4">
        <f>CHOOSE( CONTROL!$C$33, 10.8923, 10.8913) * CHOOSE(CONTROL!$C$16, $D$11, 100%, $F$11)</f>
        <v>10.892300000000001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20.331700000000001</v>
      </c>
      <c r="R403" s="9"/>
      <c r="S403" s="11"/>
    </row>
    <row r="404" spans="1:19" ht="15.75">
      <c r="A404" s="13">
        <v>53447</v>
      </c>
      <c r="B404" s="8">
        <f>CHOOSE( CONTROL!$C$33, 11.4037, 11.4027) * CHOOSE(CONTROL!$C$16, $D$11, 100%, $F$11)</f>
        <v>11.403700000000001</v>
      </c>
      <c r="C404" s="8">
        <f>CHOOSE( CONTROL!$C$33, 11.4083, 11.4072) * CHOOSE(CONTROL!$C$16, $D$11, 100%, $F$11)</f>
        <v>11.408300000000001</v>
      </c>
      <c r="D404" s="8">
        <f>CHOOSE( CONTROL!$C$33, 11.4326, 11.4315) * CHOOSE( CONTROL!$C$16, $D$11, 100%, $F$11)</f>
        <v>11.432600000000001</v>
      </c>
      <c r="E404" s="12">
        <f>CHOOSE( CONTROL!$C$33, 11.424, 11.423) * CHOOSE( CONTROL!$C$16, $D$11, 100%, $F$11)</f>
        <v>11.423999999999999</v>
      </c>
      <c r="F404" s="4">
        <f>CHOOSE( CONTROL!$C$33, 12.1327, 12.1316) * CHOOSE(CONTROL!$C$16, $D$11, 100%, $F$11)</f>
        <v>12.1327</v>
      </c>
      <c r="G404" s="8">
        <f>CHOOSE( CONTROL!$C$33, 11.3004, 11.2993) * CHOOSE( CONTROL!$C$16, $D$11, 100%, $F$11)</f>
        <v>11.3004</v>
      </c>
      <c r="H404" s="4">
        <f>CHOOSE( CONTROL!$C$33, 12.2372, 12.2361) * CHOOSE(CONTROL!$C$16, $D$11, 100%, $F$11)</f>
        <v>12.2372</v>
      </c>
      <c r="I404" s="8">
        <f>CHOOSE( CONTROL!$C$33, 11.1878, 11.1868) * CHOOSE(CONTROL!$C$16, $D$11, 100%, $F$11)</f>
        <v>11.187799999999999</v>
      </c>
      <c r="J404" s="4">
        <f>CHOOSE( CONTROL!$C$33, 11.0578, 11.0568) * CHOOSE(CONTROL!$C$16, $D$11, 100%, $F$11)</f>
        <v>11.0578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1.2509999999999999</v>
      </c>
      <c r="Q404" s="9">
        <v>19.675799999999999</v>
      </c>
      <c r="R404" s="9"/>
      <c r="S404" s="11"/>
    </row>
    <row r="405" spans="1:19" ht="15.75">
      <c r="A405" s="13">
        <v>53478</v>
      </c>
      <c r="B405" s="8">
        <f>CHOOSE( CONTROL!$C$33, 11.7093, 11.7076) * CHOOSE(CONTROL!$C$16, $D$11, 100%, $F$11)</f>
        <v>11.709300000000001</v>
      </c>
      <c r="C405" s="8">
        <f>CHOOSE( CONTROL!$C$33, 11.7172, 11.7156) * CHOOSE(CONTROL!$C$16, $D$11, 100%, $F$11)</f>
        <v>11.7172</v>
      </c>
      <c r="D405" s="8">
        <f>CHOOSE( CONTROL!$C$33, 11.7355, 11.7339) * CHOOSE( CONTROL!$C$16, $D$11, 100%, $F$11)</f>
        <v>11.7355</v>
      </c>
      <c r="E405" s="12">
        <f>CHOOSE( CONTROL!$C$33, 11.7277, 11.726) * CHOOSE( CONTROL!$C$16, $D$11, 100%, $F$11)</f>
        <v>11.7277</v>
      </c>
      <c r="F405" s="4">
        <f>CHOOSE( CONTROL!$C$33, 12.4368, 12.4351) * CHOOSE(CONTROL!$C$16, $D$11, 100%, $F$11)</f>
        <v>12.4368</v>
      </c>
      <c r="G405" s="8">
        <f>CHOOSE( CONTROL!$C$33, 11.6008, 11.5992) * CHOOSE( CONTROL!$C$16, $D$11, 100%, $F$11)</f>
        <v>11.6008</v>
      </c>
      <c r="H405" s="4">
        <f>CHOOSE( CONTROL!$C$33, 12.5378, 12.5362) * CHOOSE(CONTROL!$C$16, $D$11, 100%, $F$11)</f>
        <v>12.537800000000001</v>
      </c>
      <c r="I405" s="8">
        <f>CHOOSE( CONTROL!$C$33, 11.4825, 11.4809) * CHOOSE(CONTROL!$C$16, $D$11, 100%, $F$11)</f>
        <v>11.4825</v>
      </c>
      <c r="J405" s="4">
        <f>CHOOSE( CONTROL!$C$33, 11.353, 11.3514) * CHOOSE(CONTROL!$C$16, $D$11, 100%, $F$11)</f>
        <v>11.353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1.2927</v>
      </c>
      <c r="Q405" s="9">
        <v>20.331700000000001</v>
      </c>
      <c r="R405" s="9"/>
      <c r="S405" s="11"/>
    </row>
    <row r="406" spans="1:19" ht="15.75">
      <c r="A406" s="13">
        <v>53508</v>
      </c>
      <c r="B406" s="8">
        <f>CHOOSE( CONTROL!$C$33, 11.5212, 11.5195) * CHOOSE(CONTROL!$C$16, $D$11, 100%, $F$11)</f>
        <v>11.5212</v>
      </c>
      <c r="C406" s="8">
        <f>CHOOSE( CONTROL!$C$33, 11.5292, 11.5275) * CHOOSE(CONTROL!$C$16, $D$11, 100%, $F$11)</f>
        <v>11.529199999999999</v>
      </c>
      <c r="D406" s="8">
        <f>CHOOSE( CONTROL!$C$33, 11.5477, 11.5461) * CHOOSE( CONTROL!$C$16, $D$11, 100%, $F$11)</f>
        <v>11.547700000000001</v>
      </c>
      <c r="E406" s="12">
        <f>CHOOSE( CONTROL!$C$33, 11.5398, 11.5381) * CHOOSE( CONTROL!$C$16, $D$11, 100%, $F$11)</f>
        <v>11.5398</v>
      </c>
      <c r="F406" s="4">
        <f>CHOOSE( CONTROL!$C$33, 12.2488, 12.2471) * CHOOSE(CONTROL!$C$16, $D$11, 100%, $F$11)</f>
        <v>12.248799999999999</v>
      </c>
      <c r="G406" s="8">
        <f>CHOOSE( CONTROL!$C$33, 11.4152, 11.4135) * CHOOSE( CONTROL!$C$16, $D$11, 100%, $F$11)</f>
        <v>11.4152</v>
      </c>
      <c r="H406" s="4">
        <f>CHOOSE( CONTROL!$C$33, 12.352, 12.3503) * CHOOSE(CONTROL!$C$16, $D$11, 100%, $F$11)</f>
        <v>12.352</v>
      </c>
      <c r="I406" s="8">
        <f>CHOOSE( CONTROL!$C$33, 11.3008, 11.2992) * CHOOSE(CONTROL!$C$16, $D$11, 100%, $F$11)</f>
        <v>11.300800000000001</v>
      </c>
      <c r="J406" s="4">
        <f>CHOOSE( CONTROL!$C$33, 11.1705, 11.1689) * CHOOSE(CONTROL!$C$16, $D$11, 100%, $F$11)</f>
        <v>11.170500000000001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1.2509999999999999</v>
      </c>
      <c r="Q406" s="9">
        <v>19.675799999999999</v>
      </c>
      <c r="R406" s="9"/>
      <c r="S406" s="11"/>
    </row>
    <row r="407" spans="1:19" ht="15.75">
      <c r="A407" s="13">
        <v>53539</v>
      </c>
      <c r="B407" s="8">
        <f>CHOOSE( CONTROL!$C$33, 12.0164, 12.0148) * CHOOSE(CONTROL!$C$16, $D$11, 100%, $F$11)</f>
        <v>12.016400000000001</v>
      </c>
      <c r="C407" s="8">
        <f>CHOOSE( CONTROL!$C$33, 12.0244, 12.0227) * CHOOSE(CONTROL!$C$16, $D$11, 100%, $F$11)</f>
        <v>12.0244</v>
      </c>
      <c r="D407" s="8">
        <f>CHOOSE( CONTROL!$C$33, 12.0432, 12.0415) * CHOOSE( CONTROL!$C$16, $D$11, 100%, $F$11)</f>
        <v>12.043200000000001</v>
      </c>
      <c r="E407" s="12">
        <f>CHOOSE( CONTROL!$C$33, 12.0352, 12.0335) * CHOOSE( CONTROL!$C$16, $D$11, 100%, $F$11)</f>
        <v>12.0352</v>
      </c>
      <c r="F407" s="4">
        <f>CHOOSE( CONTROL!$C$33, 12.744, 12.7423) * CHOOSE(CONTROL!$C$16, $D$11, 100%, $F$11)</f>
        <v>12.744</v>
      </c>
      <c r="G407" s="8">
        <f>CHOOSE( CONTROL!$C$33, 11.9048, 11.9032) * CHOOSE( CONTROL!$C$16, $D$11, 100%, $F$11)</f>
        <v>11.9048</v>
      </c>
      <c r="H407" s="4">
        <f>CHOOSE( CONTROL!$C$33, 12.8414, 12.8397) * CHOOSE(CONTROL!$C$16, $D$11, 100%, $F$11)</f>
        <v>12.8414</v>
      </c>
      <c r="I407" s="8">
        <f>CHOOSE( CONTROL!$C$33, 11.7825, 11.7809) * CHOOSE(CONTROL!$C$16, $D$11, 100%, $F$11)</f>
        <v>11.782500000000001</v>
      </c>
      <c r="J407" s="4">
        <f>CHOOSE( CONTROL!$C$33, 11.6511, 11.6495) * CHOOSE(CONTROL!$C$16, $D$11, 100%, $F$11)</f>
        <v>11.6511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1.2927</v>
      </c>
      <c r="Q407" s="9">
        <v>20.331700000000001</v>
      </c>
      <c r="R407" s="9"/>
      <c r="S407" s="11"/>
    </row>
    <row r="408" spans="1:19" ht="15.75">
      <c r="A408" s="13">
        <v>53570</v>
      </c>
      <c r="B408" s="8">
        <f>CHOOSE( CONTROL!$C$33, 11.0898, 11.0882) * CHOOSE(CONTROL!$C$16, $D$11, 100%, $F$11)</f>
        <v>11.0898</v>
      </c>
      <c r="C408" s="8">
        <f>CHOOSE( CONTROL!$C$33, 11.0978, 11.0961) * CHOOSE(CONTROL!$C$16, $D$11, 100%, $F$11)</f>
        <v>11.097799999999999</v>
      </c>
      <c r="D408" s="8">
        <f>CHOOSE( CONTROL!$C$33, 11.1167, 11.115) * CHOOSE( CONTROL!$C$16, $D$11, 100%, $F$11)</f>
        <v>11.1167</v>
      </c>
      <c r="E408" s="12">
        <f>CHOOSE( CONTROL!$C$33, 11.1086, 11.1069) * CHOOSE( CONTROL!$C$16, $D$11, 100%, $F$11)</f>
        <v>11.108599999999999</v>
      </c>
      <c r="F408" s="4">
        <f>CHOOSE( CONTROL!$C$33, 11.8174, 11.8157) * CHOOSE(CONTROL!$C$16, $D$11, 100%, $F$11)</f>
        <v>11.817399999999999</v>
      </c>
      <c r="G408" s="8">
        <f>CHOOSE( CONTROL!$C$33, 10.9891, 10.9875) * CHOOSE( CONTROL!$C$16, $D$11, 100%, $F$11)</f>
        <v>10.989100000000001</v>
      </c>
      <c r="H408" s="4">
        <f>CHOOSE( CONTROL!$C$33, 11.9256, 11.924) * CHOOSE(CONTROL!$C$16, $D$11, 100%, $F$11)</f>
        <v>11.925599999999999</v>
      </c>
      <c r="I408" s="8">
        <f>CHOOSE( CONTROL!$C$33, 10.883, 10.8814) * CHOOSE(CONTROL!$C$16, $D$11, 100%, $F$11)</f>
        <v>10.882999999999999</v>
      </c>
      <c r="J408" s="4">
        <f>CHOOSE( CONTROL!$C$33, 10.7519, 10.7502) * CHOOSE(CONTROL!$C$16, $D$11, 100%, $F$11)</f>
        <v>10.751899999999999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1.2927</v>
      </c>
      <c r="Q408" s="9">
        <v>20.331700000000001</v>
      </c>
      <c r="R408" s="9"/>
      <c r="S408" s="11"/>
    </row>
    <row r="409" spans="1:19" ht="15.75">
      <c r="A409" s="13">
        <v>53600</v>
      </c>
      <c r="B409" s="8">
        <f>CHOOSE( CONTROL!$C$33, 10.8578, 10.8561) * CHOOSE(CONTROL!$C$16, $D$11, 100%, $F$11)</f>
        <v>10.857799999999999</v>
      </c>
      <c r="C409" s="8">
        <f>CHOOSE( CONTROL!$C$33, 10.8658, 10.8641) * CHOOSE(CONTROL!$C$16, $D$11, 100%, $F$11)</f>
        <v>10.8658</v>
      </c>
      <c r="D409" s="8">
        <f>CHOOSE( CONTROL!$C$33, 10.8845, 10.8829) * CHOOSE( CONTROL!$C$16, $D$11, 100%, $F$11)</f>
        <v>10.884499999999999</v>
      </c>
      <c r="E409" s="12">
        <f>CHOOSE( CONTROL!$C$33, 10.8765, 10.8749) * CHOOSE( CONTROL!$C$16, $D$11, 100%, $F$11)</f>
        <v>10.8765</v>
      </c>
      <c r="F409" s="4">
        <f>CHOOSE( CONTROL!$C$33, 11.5853, 11.5837) * CHOOSE(CONTROL!$C$16, $D$11, 100%, $F$11)</f>
        <v>11.5853</v>
      </c>
      <c r="G409" s="8">
        <f>CHOOSE( CONTROL!$C$33, 10.7597, 10.7581) * CHOOSE( CONTROL!$C$16, $D$11, 100%, $F$11)</f>
        <v>10.7597</v>
      </c>
      <c r="H409" s="4">
        <f>CHOOSE( CONTROL!$C$33, 11.6963, 11.6947) * CHOOSE(CONTROL!$C$16, $D$11, 100%, $F$11)</f>
        <v>11.696300000000001</v>
      </c>
      <c r="I409" s="8">
        <f>CHOOSE( CONTROL!$C$33, 10.6574, 10.6558) * CHOOSE(CONTROL!$C$16, $D$11, 100%, $F$11)</f>
        <v>10.657400000000001</v>
      </c>
      <c r="J409" s="4">
        <f>CHOOSE( CONTROL!$C$33, 10.5267, 10.5251) * CHOOSE(CONTROL!$C$16, $D$11, 100%, $F$11)</f>
        <v>10.5267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1.2509999999999999</v>
      </c>
      <c r="Q409" s="9">
        <v>19.675799999999999</v>
      </c>
      <c r="R409" s="9"/>
      <c r="S409" s="11"/>
    </row>
    <row r="410" spans="1:19" ht="15.75">
      <c r="A410" s="13">
        <v>53631</v>
      </c>
      <c r="B410" s="8">
        <f>CHOOSE( CONTROL!$C$33, 11.3373, 11.3362) * CHOOSE(CONTROL!$C$16, $D$11, 100%, $F$11)</f>
        <v>11.337300000000001</v>
      </c>
      <c r="C410" s="8">
        <f>CHOOSE( CONTROL!$C$33, 11.3426, 11.3415) * CHOOSE(CONTROL!$C$16, $D$11, 100%, $F$11)</f>
        <v>11.342599999999999</v>
      </c>
      <c r="D410" s="8">
        <f>CHOOSE( CONTROL!$C$33, 11.367, 11.3659) * CHOOSE( CONTROL!$C$16, $D$11, 100%, $F$11)</f>
        <v>11.367000000000001</v>
      </c>
      <c r="E410" s="12">
        <f>CHOOSE( CONTROL!$C$33, 11.3584, 11.3573) * CHOOSE( CONTROL!$C$16, $D$11, 100%, $F$11)</f>
        <v>11.3584</v>
      </c>
      <c r="F410" s="4">
        <f>CHOOSE( CONTROL!$C$33, 12.0665, 12.0655) * CHOOSE(CONTROL!$C$16, $D$11, 100%, $F$11)</f>
        <v>12.0665</v>
      </c>
      <c r="G410" s="8">
        <f>CHOOSE( CONTROL!$C$33, 11.2355, 11.2344) * CHOOSE( CONTROL!$C$16, $D$11, 100%, $F$11)</f>
        <v>11.2355</v>
      </c>
      <c r="H410" s="4">
        <f>CHOOSE( CONTROL!$C$33, 12.1719, 12.1708) * CHOOSE(CONTROL!$C$16, $D$11, 100%, $F$11)</f>
        <v>12.171900000000001</v>
      </c>
      <c r="I410" s="8">
        <f>CHOOSE( CONTROL!$C$33, 11.1255, 11.1244) * CHOOSE(CONTROL!$C$16, $D$11, 100%, $F$11)</f>
        <v>11.125500000000001</v>
      </c>
      <c r="J410" s="4">
        <f>CHOOSE( CONTROL!$C$33, 10.9937, 10.9926) * CHOOSE(CONTROL!$C$16, $D$11, 100%, $F$11)</f>
        <v>10.9937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1.2927</v>
      </c>
      <c r="Q410" s="9">
        <v>20.331700000000001</v>
      </c>
      <c r="R410" s="9"/>
      <c r="S410" s="11"/>
    </row>
    <row r="411" spans="1:19" ht="15.75">
      <c r="A411" s="13">
        <v>53661</v>
      </c>
      <c r="B411" s="8">
        <f>CHOOSE( CONTROL!$C$33, 12.2261, 12.225) * CHOOSE(CONTROL!$C$16, $D$11, 100%, $F$11)</f>
        <v>12.226100000000001</v>
      </c>
      <c r="C411" s="8">
        <f>CHOOSE( CONTROL!$C$33, 12.2312, 12.2301) * CHOOSE(CONTROL!$C$16, $D$11, 100%, $F$11)</f>
        <v>12.231199999999999</v>
      </c>
      <c r="D411" s="8">
        <f>CHOOSE( CONTROL!$C$33, 12.2216, 12.2205) * CHOOSE( CONTROL!$C$16, $D$11, 100%, $F$11)</f>
        <v>12.2216</v>
      </c>
      <c r="E411" s="12">
        <f>CHOOSE( CONTROL!$C$33, 12.2246, 12.2235) * CHOOSE( CONTROL!$C$16, $D$11, 100%, $F$11)</f>
        <v>12.224600000000001</v>
      </c>
      <c r="F411" s="4">
        <f>CHOOSE( CONTROL!$C$33, 12.8862, 12.8852) * CHOOSE(CONTROL!$C$16, $D$11, 100%, $F$11)</f>
        <v>12.886200000000001</v>
      </c>
      <c r="G411" s="8">
        <f>CHOOSE( CONTROL!$C$33, 12.1008, 12.0998) * CHOOSE( CONTROL!$C$16, $D$11, 100%, $F$11)</f>
        <v>12.1008</v>
      </c>
      <c r="H411" s="4">
        <f>CHOOSE( CONTROL!$C$33, 12.982, 12.9809) * CHOOSE(CONTROL!$C$16, $D$11, 100%, $F$11)</f>
        <v>12.981999999999999</v>
      </c>
      <c r="I411" s="8">
        <f>CHOOSE( CONTROL!$C$33, 12.0483, 12.0472) * CHOOSE(CONTROL!$C$16, $D$11, 100%, $F$11)</f>
        <v>12.048299999999999</v>
      </c>
      <c r="J411" s="4">
        <f>CHOOSE( CONTROL!$C$33, 11.8567, 11.8556) * CHOOSE(CONTROL!$C$16, $D$11, 100%, $F$11)</f>
        <v>11.8567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19.675799999999999</v>
      </c>
      <c r="R411" s="9"/>
      <c r="S411" s="11"/>
    </row>
    <row r="412" spans="1:19" ht="15.75">
      <c r="A412" s="13">
        <v>53692</v>
      </c>
      <c r="B412" s="8">
        <f>CHOOSE( CONTROL!$C$33, 12.2039, 12.2028) * CHOOSE(CONTROL!$C$16, $D$11, 100%, $F$11)</f>
        <v>12.203900000000001</v>
      </c>
      <c r="C412" s="8">
        <f>CHOOSE( CONTROL!$C$33, 12.209, 12.2079) * CHOOSE(CONTROL!$C$16, $D$11, 100%, $F$11)</f>
        <v>12.209</v>
      </c>
      <c r="D412" s="8">
        <f>CHOOSE( CONTROL!$C$33, 12.2008, 12.1997) * CHOOSE( CONTROL!$C$16, $D$11, 100%, $F$11)</f>
        <v>12.200799999999999</v>
      </c>
      <c r="E412" s="12">
        <f>CHOOSE( CONTROL!$C$33, 12.2033, 12.2022) * CHOOSE( CONTROL!$C$16, $D$11, 100%, $F$11)</f>
        <v>12.2033</v>
      </c>
      <c r="F412" s="4">
        <f>CHOOSE( CONTROL!$C$33, 12.864, 12.8629) * CHOOSE(CONTROL!$C$16, $D$11, 100%, $F$11)</f>
        <v>12.864000000000001</v>
      </c>
      <c r="G412" s="8">
        <f>CHOOSE( CONTROL!$C$33, 12.0799, 12.0788) * CHOOSE( CONTROL!$C$16, $D$11, 100%, $F$11)</f>
        <v>12.0799</v>
      </c>
      <c r="H412" s="4">
        <f>CHOOSE( CONTROL!$C$33, 12.96, 12.959) * CHOOSE(CONTROL!$C$16, $D$11, 100%, $F$11)</f>
        <v>12.96</v>
      </c>
      <c r="I412" s="8">
        <f>CHOOSE( CONTROL!$C$33, 12.0312, 12.0301) * CHOOSE(CONTROL!$C$16, $D$11, 100%, $F$11)</f>
        <v>12.0312</v>
      </c>
      <c r="J412" s="4">
        <f>CHOOSE( CONTROL!$C$33, 11.8351, 11.8341) * CHOOSE(CONTROL!$C$16, $D$11, 100%, $F$11)</f>
        <v>11.835100000000001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20.331700000000001</v>
      </c>
      <c r="R412" s="9"/>
      <c r="S412" s="11"/>
    </row>
    <row r="413" spans="1:19" ht="15.75">
      <c r="A413" s="13">
        <v>53723</v>
      </c>
      <c r="B413" s="8">
        <f>CHOOSE( CONTROL!$C$33, 12.5636, 12.5625) * CHOOSE(CONTROL!$C$16, $D$11, 100%, $F$11)</f>
        <v>12.563599999999999</v>
      </c>
      <c r="C413" s="8">
        <f>CHOOSE( CONTROL!$C$33, 12.5687, 12.5676) * CHOOSE(CONTROL!$C$16, $D$11, 100%, $F$11)</f>
        <v>12.5687</v>
      </c>
      <c r="D413" s="8">
        <f>CHOOSE( CONTROL!$C$33, 12.5713, 12.5702) * CHOOSE( CONTROL!$C$16, $D$11, 100%, $F$11)</f>
        <v>12.571300000000001</v>
      </c>
      <c r="E413" s="12">
        <f>CHOOSE( CONTROL!$C$33, 12.5698, 12.5687) * CHOOSE( CONTROL!$C$16, $D$11, 100%, $F$11)</f>
        <v>12.569800000000001</v>
      </c>
      <c r="F413" s="4">
        <f>CHOOSE( CONTROL!$C$33, 13.2237, 13.2226) * CHOOSE(CONTROL!$C$16, $D$11, 100%, $F$11)</f>
        <v>13.223699999999999</v>
      </c>
      <c r="G413" s="8">
        <f>CHOOSE( CONTROL!$C$33, 12.4382, 12.4371) * CHOOSE( CONTROL!$C$16, $D$11, 100%, $F$11)</f>
        <v>12.4382</v>
      </c>
      <c r="H413" s="4">
        <f>CHOOSE( CONTROL!$C$33, 13.3155, 13.3144) * CHOOSE(CONTROL!$C$16, $D$11, 100%, $F$11)</f>
        <v>13.3155</v>
      </c>
      <c r="I413" s="8">
        <f>CHOOSE( CONTROL!$C$33, 12.3519, 12.3508) * CHOOSE(CONTROL!$C$16, $D$11, 100%, $F$11)</f>
        <v>12.351900000000001</v>
      </c>
      <c r="J413" s="4">
        <f>CHOOSE( CONTROL!$C$33, 12.1842, 12.1831) * CHOOSE(CONTROL!$C$16, $D$11, 100%, $F$11)</f>
        <v>12.184200000000001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20.2666</v>
      </c>
      <c r="R413" s="9"/>
      <c r="S413" s="11"/>
    </row>
    <row r="414" spans="1:19" ht="15.75">
      <c r="A414" s="13">
        <v>53751</v>
      </c>
      <c r="B414" s="8">
        <f>CHOOSE( CONTROL!$C$33, 11.752, 11.7509) * CHOOSE(CONTROL!$C$16, $D$11, 100%, $F$11)</f>
        <v>11.752000000000001</v>
      </c>
      <c r="C414" s="8">
        <f>CHOOSE( CONTROL!$C$33, 11.7571, 11.756) * CHOOSE(CONTROL!$C$16, $D$11, 100%, $F$11)</f>
        <v>11.757099999999999</v>
      </c>
      <c r="D414" s="8">
        <f>CHOOSE( CONTROL!$C$33, 11.7596, 11.7586) * CHOOSE( CONTROL!$C$16, $D$11, 100%, $F$11)</f>
        <v>11.759600000000001</v>
      </c>
      <c r="E414" s="12">
        <f>CHOOSE( CONTROL!$C$33, 11.7581, 11.7571) * CHOOSE( CONTROL!$C$16, $D$11, 100%, $F$11)</f>
        <v>11.758100000000001</v>
      </c>
      <c r="F414" s="4">
        <f>CHOOSE( CONTROL!$C$33, 12.4121, 12.4111) * CHOOSE(CONTROL!$C$16, $D$11, 100%, $F$11)</f>
        <v>12.412100000000001</v>
      </c>
      <c r="G414" s="8">
        <f>CHOOSE( CONTROL!$C$33, 11.6361, 11.635) * CHOOSE( CONTROL!$C$16, $D$11, 100%, $F$11)</f>
        <v>11.636100000000001</v>
      </c>
      <c r="H414" s="4">
        <f>CHOOSE( CONTROL!$C$33, 12.5134, 12.5124) * CHOOSE(CONTROL!$C$16, $D$11, 100%, $F$11)</f>
        <v>12.513400000000001</v>
      </c>
      <c r="I414" s="8">
        <f>CHOOSE( CONTROL!$C$33, 11.5636, 11.5626) * CHOOSE(CONTROL!$C$16, $D$11, 100%, $F$11)</f>
        <v>11.563599999999999</v>
      </c>
      <c r="J414" s="4">
        <f>CHOOSE( CONTROL!$C$33, 11.3966, 11.3955) * CHOOSE(CONTROL!$C$16, $D$11, 100%, $F$11)</f>
        <v>11.396599999999999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18.305299999999999</v>
      </c>
      <c r="R414" s="9"/>
      <c r="S414" s="11"/>
    </row>
    <row r="415" spans="1:19" ht="15.75">
      <c r="A415" s="13">
        <v>53782</v>
      </c>
      <c r="B415" s="8">
        <f>CHOOSE( CONTROL!$C$33, 11.5021, 11.501) * CHOOSE(CONTROL!$C$16, $D$11, 100%, $F$11)</f>
        <v>11.5021</v>
      </c>
      <c r="C415" s="8">
        <f>CHOOSE( CONTROL!$C$33, 11.5071, 11.506) * CHOOSE(CONTROL!$C$16, $D$11, 100%, $F$11)</f>
        <v>11.507099999999999</v>
      </c>
      <c r="D415" s="8">
        <f>CHOOSE( CONTROL!$C$33, 11.509, 11.5079) * CHOOSE( CONTROL!$C$16, $D$11, 100%, $F$11)</f>
        <v>11.509</v>
      </c>
      <c r="E415" s="12">
        <f>CHOOSE( CONTROL!$C$33, 11.5078, 11.5067) * CHOOSE( CONTROL!$C$16, $D$11, 100%, $F$11)</f>
        <v>11.5078</v>
      </c>
      <c r="F415" s="4">
        <f>CHOOSE( CONTROL!$C$33, 12.1622, 12.1611) * CHOOSE(CONTROL!$C$16, $D$11, 100%, $F$11)</f>
        <v>12.1622</v>
      </c>
      <c r="G415" s="8">
        <f>CHOOSE( CONTROL!$C$33, 11.3886, 11.3875) * CHOOSE( CONTROL!$C$16, $D$11, 100%, $F$11)</f>
        <v>11.3886</v>
      </c>
      <c r="H415" s="4">
        <f>CHOOSE( CONTROL!$C$33, 12.2664, 12.2653) * CHOOSE(CONTROL!$C$16, $D$11, 100%, $F$11)</f>
        <v>12.266400000000001</v>
      </c>
      <c r="I415" s="8">
        <f>CHOOSE( CONTROL!$C$33, 11.3188, 11.3177) * CHOOSE(CONTROL!$C$16, $D$11, 100%, $F$11)</f>
        <v>11.3188</v>
      </c>
      <c r="J415" s="4">
        <f>CHOOSE( CONTROL!$C$33, 11.154, 11.1529) * CHOOSE(CONTROL!$C$16, $D$11, 100%, $F$11)</f>
        <v>11.154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20.2666</v>
      </c>
      <c r="R415" s="9"/>
      <c r="S415" s="11"/>
    </row>
    <row r="416" spans="1:19" ht="15.75">
      <c r="A416" s="13">
        <v>53812</v>
      </c>
      <c r="B416" s="8">
        <f>CHOOSE( CONTROL!$C$33, 11.6775, 11.6764) * CHOOSE(CONTROL!$C$16, $D$11, 100%, $F$11)</f>
        <v>11.6775</v>
      </c>
      <c r="C416" s="8">
        <f>CHOOSE( CONTROL!$C$33, 11.682, 11.6809) * CHOOSE(CONTROL!$C$16, $D$11, 100%, $F$11)</f>
        <v>11.682</v>
      </c>
      <c r="D416" s="8">
        <f>CHOOSE( CONTROL!$C$33, 11.7064, 11.7053) * CHOOSE( CONTROL!$C$16, $D$11, 100%, $F$11)</f>
        <v>11.7064</v>
      </c>
      <c r="E416" s="12">
        <f>CHOOSE( CONTROL!$C$33, 11.6978, 11.6967) * CHOOSE( CONTROL!$C$16, $D$11, 100%, $F$11)</f>
        <v>11.697800000000001</v>
      </c>
      <c r="F416" s="4">
        <f>CHOOSE( CONTROL!$C$33, 12.4064, 12.4053) * CHOOSE(CONTROL!$C$16, $D$11, 100%, $F$11)</f>
        <v>12.4064</v>
      </c>
      <c r="G416" s="8">
        <f>CHOOSE( CONTROL!$C$33, 11.5709, 11.5698) * CHOOSE( CONTROL!$C$16, $D$11, 100%, $F$11)</f>
        <v>11.5709</v>
      </c>
      <c r="H416" s="4">
        <f>CHOOSE( CONTROL!$C$33, 12.5078, 12.5067) * CHOOSE(CONTROL!$C$16, $D$11, 100%, $F$11)</f>
        <v>12.5078</v>
      </c>
      <c r="I416" s="8">
        <f>CHOOSE( CONTROL!$C$33, 11.4536, 11.4526) * CHOOSE(CONTROL!$C$16, $D$11, 100%, $F$11)</f>
        <v>11.4536</v>
      </c>
      <c r="J416" s="4">
        <f>CHOOSE( CONTROL!$C$33, 11.3235, 11.3225) * CHOOSE(CONTROL!$C$16, $D$11, 100%, $F$11)</f>
        <v>11.323499999999999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1.2509999999999999</v>
      </c>
      <c r="Q416" s="9">
        <v>19.6128</v>
      </c>
      <c r="R416" s="9"/>
      <c r="S416" s="11"/>
    </row>
    <row r="417" spans="1:19" ht="15.75">
      <c r="A417" s="13">
        <v>53843</v>
      </c>
      <c r="B417" s="8">
        <f>CHOOSE( CONTROL!$C$33, 11.9903, 11.9886) * CHOOSE(CONTROL!$C$16, $D$11, 100%, $F$11)</f>
        <v>11.9903</v>
      </c>
      <c r="C417" s="8">
        <f>CHOOSE( CONTROL!$C$33, 11.9983, 11.9966) * CHOOSE(CONTROL!$C$16, $D$11, 100%, $F$11)</f>
        <v>11.9983</v>
      </c>
      <c r="D417" s="8">
        <f>CHOOSE( CONTROL!$C$33, 12.0166, 12.0149) * CHOOSE( CONTROL!$C$16, $D$11, 100%, $F$11)</f>
        <v>12.0166</v>
      </c>
      <c r="E417" s="12">
        <f>CHOOSE( CONTROL!$C$33, 12.0087, 12.007) * CHOOSE( CONTROL!$C$16, $D$11, 100%, $F$11)</f>
        <v>12.008699999999999</v>
      </c>
      <c r="F417" s="4">
        <f>CHOOSE( CONTROL!$C$33, 12.7178, 12.7162) * CHOOSE(CONTROL!$C$16, $D$11, 100%, $F$11)</f>
        <v>12.7178</v>
      </c>
      <c r="G417" s="8">
        <f>CHOOSE( CONTROL!$C$33, 11.8786, 11.8769) * CHOOSE( CONTROL!$C$16, $D$11, 100%, $F$11)</f>
        <v>11.8786</v>
      </c>
      <c r="H417" s="4">
        <f>CHOOSE( CONTROL!$C$33, 12.8155, 12.8139) * CHOOSE(CONTROL!$C$16, $D$11, 100%, $F$11)</f>
        <v>12.8155</v>
      </c>
      <c r="I417" s="8">
        <f>CHOOSE( CONTROL!$C$33, 11.7554, 11.7538) * CHOOSE(CONTROL!$C$16, $D$11, 100%, $F$11)</f>
        <v>11.7554</v>
      </c>
      <c r="J417" s="4">
        <f>CHOOSE( CONTROL!$C$33, 11.6258, 11.6241) * CHOOSE(CONTROL!$C$16, $D$11, 100%, $F$11)</f>
        <v>11.6258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1.2927</v>
      </c>
      <c r="Q417" s="9">
        <v>20.2666</v>
      </c>
      <c r="R417" s="9"/>
      <c r="S417" s="11"/>
    </row>
    <row r="418" spans="1:19" ht="15.75">
      <c r="A418" s="13">
        <v>53873</v>
      </c>
      <c r="B418" s="8">
        <f>CHOOSE( CONTROL!$C$33, 11.7977, 11.7961) * CHOOSE(CONTROL!$C$16, $D$11, 100%, $F$11)</f>
        <v>11.797700000000001</v>
      </c>
      <c r="C418" s="8">
        <f>CHOOSE( CONTROL!$C$33, 11.8057, 11.804) * CHOOSE(CONTROL!$C$16, $D$11, 100%, $F$11)</f>
        <v>11.8057</v>
      </c>
      <c r="D418" s="8">
        <f>CHOOSE( CONTROL!$C$33, 11.8242, 11.8226) * CHOOSE( CONTROL!$C$16, $D$11, 100%, $F$11)</f>
        <v>11.824199999999999</v>
      </c>
      <c r="E418" s="12">
        <f>CHOOSE( CONTROL!$C$33, 11.8163, 11.8147) * CHOOSE( CONTROL!$C$16, $D$11, 100%, $F$11)</f>
        <v>11.8163</v>
      </c>
      <c r="F418" s="4">
        <f>CHOOSE( CONTROL!$C$33, 12.5253, 12.5236) * CHOOSE(CONTROL!$C$16, $D$11, 100%, $F$11)</f>
        <v>12.5253</v>
      </c>
      <c r="G418" s="8">
        <f>CHOOSE( CONTROL!$C$33, 11.6885, 11.6868) * CHOOSE( CONTROL!$C$16, $D$11, 100%, $F$11)</f>
        <v>11.688499999999999</v>
      </c>
      <c r="H418" s="4">
        <f>CHOOSE( CONTROL!$C$33, 12.6252, 12.6236) * CHOOSE(CONTROL!$C$16, $D$11, 100%, $F$11)</f>
        <v>12.6252</v>
      </c>
      <c r="I418" s="8">
        <f>CHOOSE( CONTROL!$C$33, 11.5693, 11.5677) * CHOOSE(CONTROL!$C$16, $D$11, 100%, $F$11)</f>
        <v>11.5693</v>
      </c>
      <c r="J418" s="4">
        <f>CHOOSE( CONTROL!$C$33, 11.4389, 11.4373) * CHOOSE(CONTROL!$C$16, $D$11, 100%, $F$11)</f>
        <v>11.4389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1.2509999999999999</v>
      </c>
      <c r="Q418" s="9">
        <v>19.6128</v>
      </c>
      <c r="R418" s="9"/>
      <c r="S418" s="11"/>
    </row>
    <row r="419" spans="1:19" ht="15.75">
      <c r="A419" s="13">
        <v>53904</v>
      </c>
      <c r="B419" s="8">
        <f>CHOOSE( CONTROL!$C$33, 12.3048, 12.3032) * CHOOSE(CONTROL!$C$16, $D$11, 100%, $F$11)</f>
        <v>12.3048</v>
      </c>
      <c r="C419" s="8">
        <f>CHOOSE( CONTROL!$C$33, 12.3128, 12.3111) * CHOOSE(CONTROL!$C$16, $D$11, 100%, $F$11)</f>
        <v>12.312799999999999</v>
      </c>
      <c r="D419" s="8">
        <f>CHOOSE( CONTROL!$C$33, 12.3316, 12.3299) * CHOOSE( CONTROL!$C$16, $D$11, 100%, $F$11)</f>
        <v>12.3316</v>
      </c>
      <c r="E419" s="12">
        <f>CHOOSE( CONTROL!$C$33, 12.3236, 12.3219) * CHOOSE( CONTROL!$C$16, $D$11, 100%, $F$11)</f>
        <v>12.323600000000001</v>
      </c>
      <c r="F419" s="4">
        <f>CHOOSE( CONTROL!$C$33, 13.0324, 13.0307) * CHOOSE(CONTROL!$C$16, $D$11, 100%, $F$11)</f>
        <v>13.032400000000001</v>
      </c>
      <c r="G419" s="8">
        <f>CHOOSE( CONTROL!$C$33, 12.1898, 12.1882) * CHOOSE( CONTROL!$C$16, $D$11, 100%, $F$11)</f>
        <v>12.1898</v>
      </c>
      <c r="H419" s="4">
        <f>CHOOSE( CONTROL!$C$33, 13.1264, 13.1248) * CHOOSE(CONTROL!$C$16, $D$11, 100%, $F$11)</f>
        <v>13.1264</v>
      </c>
      <c r="I419" s="8">
        <f>CHOOSE( CONTROL!$C$33, 12.0625, 12.0609) * CHOOSE(CONTROL!$C$16, $D$11, 100%, $F$11)</f>
        <v>12.0625</v>
      </c>
      <c r="J419" s="4">
        <f>CHOOSE( CONTROL!$C$33, 11.931, 11.9294) * CHOOSE(CONTROL!$C$16, $D$11, 100%, $F$11)</f>
        <v>11.930999999999999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1.2927</v>
      </c>
      <c r="Q419" s="9">
        <v>20.2666</v>
      </c>
      <c r="R419" s="9"/>
      <c r="S419" s="11"/>
    </row>
    <row r="420" spans="1:19" ht="15.75">
      <c r="A420" s="13">
        <v>53935</v>
      </c>
      <c r="B420" s="8">
        <f>CHOOSE( CONTROL!$C$33, 11.356, 11.3543) * CHOOSE(CONTROL!$C$16, $D$11, 100%, $F$11)</f>
        <v>11.356</v>
      </c>
      <c r="C420" s="8">
        <f>CHOOSE( CONTROL!$C$33, 11.3639, 11.3623) * CHOOSE(CONTROL!$C$16, $D$11, 100%, $F$11)</f>
        <v>11.363899999999999</v>
      </c>
      <c r="D420" s="8">
        <f>CHOOSE( CONTROL!$C$33, 11.3828, 11.3812) * CHOOSE( CONTROL!$C$16, $D$11, 100%, $F$11)</f>
        <v>11.3828</v>
      </c>
      <c r="E420" s="12">
        <f>CHOOSE( CONTROL!$C$33, 11.3747, 11.3731) * CHOOSE( CONTROL!$C$16, $D$11, 100%, $F$11)</f>
        <v>11.374700000000001</v>
      </c>
      <c r="F420" s="4">
        <f>CHOOSE( CONTROL!$C$33, 12.0835, 12.0819) * CHOOSE(CONTROL!$C$16, $D$11, 100%, $F$11)</f>
        <v>12.083500000000001</v>
      </c>
      <c r="G420" s="8">
        <f>CHOOSE( CONTROL!$C$33, 11.2521, 11.2505) * CHOOSE( CONTROL!$C$16, $D$11, 100%, $F$11)</f>
        <v>11.2521</v>
      </c>
      <c r="H420" s="4">
        <f>CHOOSE( CONTROL!$C$33, 12.1887, 12.187) * CHOOSE(CONTROL!$C$16, $D$11, 100%, $F$11)</f>
        <v>12.188700000000001</v>
      </c>
      <c r="I420" s="8">
        <f>CHOOSE( CONTROL!$C$33, 11.1415, 11.1399) * CHOOSE(CONTROL!$C$16, $D$11, 100%, $F$11)</f>
        <v>11.141500000000001</v>
      </c>
      <c r="J420" s="4">
        <f>CHOOSE( CONTROL!$C$33, 11.0102, 11.0085) * CHOOSE(CONTROL!$C$16, $D$11, 100%, $F$11)</f>
        <v>11.010199999999999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1.2927</v>
      </c>
      <c r="Q420" s="9">
        <v>20.2666</v>
      </c>
      <c r="R420" s="9"/>
      <c r="S420" s="11"/>
    </row>
    <row r="421" spans="1:19" ht="15.75">
      <c r="A421" s="13">
        <v>53965</v>
      </c>
      <c r="B421" s="8">
        <f>CHOOSE( CONTROL!$C$33, 11.1184, 11.1167) * CHOOSE(CONTROL!$C$16, $D$11, 100%, $F$11)</f>
        <v>11.118399999999999</v>
      </c>
      <c r="C421" s="8">
        <f>CHOOSE( CONTROL!$C$33, 11.1263, 11.1247) * CHOOSE(CONTROL!$C$16, $D$11, 100%, $F$11)</f>
        <v>11.126300000000001</v>
      </c>
      <c r="D421" s="8">
        <f>CHOOSE( CONTROL!$C$33, 11.1451, 11.1434) * CHOOSE( CONTROL!$C$16, $D$11, 100%, $F$11)</f>
        <v>11.145099999999999</v>
      </c>
      <c r="E421" s="12">
        <f>CHOOSE( CONTROL!$C$33, 11.1371, 11.1354) * CHOOSE( CONTROL!$C$16, $D$11, 100%, $F$11)</f>
        <v>11.1371</v>
      </c>
      <c r="F421" s="4">
        <f>CHOOSE( CONTROL!$C$33, 11.8459, 11.8443) * CHOOSE(CONTROL!$C$16, $D$11, 100%, $F$11)</f>
        <v>11.8459</v>
      </c>
      <c r="G421" s="8">
        <f>CHOOSE( CONTROL!$C$33, 11.0172, 11.0156) * CHOOSE( CONTROL!$C$16, $D$11, 100%, $F$11)</f>
        <v>11.017200000000001</v>
      </c>
      <c r="H421" s="4">
        <f>CHOOSE( CONTROL!$C$33, 11.9538, 11.9522) * CHOOSE(CONTROL!$C$16, $D$11, 100%, $F$11)</f>
        <v>11.953799999999999</v>
      </c>
      <c r="I421" s="8">
        <f>CHOOSE( CONTROL!$C$33, 10.9104, 10.9088) * CHOOSE(CONTROL!$C$16, $D$11, 100%, $F$11)</f>
        <v>10.910399999999999</v>
      </c>
      <c r="J421" s="4">
        <f>CHOOSE( CONTROL!$C$33, 10.7796, 10.7779) * CHOOSE(CONTROL!$C$16, $D$11, 100%, $F$11)</f>
        <v>10.7796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1.2509999999999999</v>
      </c>
      <c r="Q421" s="9">
        <v>19.6128</v>
      </c>
      <c r="R421" s="9"/>
      <c r="S421" s="11"/>
    </row>
    <row r="422" spans="1:19" ht="15.75">
      <c r="A422" s="13">
        <v>53996</v>
      </c>
      <c r="B422" s="8">
        <f>CHOOSE( CONTROL!$C$33, 11.6094, 11.6083) * CHOOSE(CONTROL!$C$16, $D$11, 100%, $F$11)</f>
        <v>11.609400000000001</v>
      </c>
      <c r="C422" s="8">
        <f>CHOOSE( CONTROL!$C$33, 11.6147, 11.6137) * CHOOSE(CONTROL!$C$16, $D$11, 100%, $F$11)</f>
        <v>11.614699999999999</v>
      </c>
      <c r="D422" s="8">
        <f>CHOOSE( CONTROL!$C$33, 11.6392, 11.6381) * CHOOSE( CONTROL!$C$16, $D$11, 100%, $F$11)</f>
        <v>11.639200000000001</v>
      </c>
      <c r="E422" s="12">
        <f>CHOOSE( CONTROL!$C$33, 11.6305, 11.6295) * CHOOSE( CONTROL!$C$16, $D$11, 100%, $F$11)</f>
        <v>11.6305</v>
      </c>
      <c r="F422" s="4">
        <f>CHOOSE( CONTROL!$C$33, 12.3387, 12.3376) * CHOOSE(CONTROL!$C$16, $D$11, 100%, $F$11)</f>
        <v>12.338699999999999</v>
      </c>
      <c r="G422" s="8">
        <f>CHOOSE( CONTROL!$C$33, 11.5044, 11.5033) * CHOOSE( CONTROL!$C$16, $D$11, 100%, $F$11)</f>
        <v>11.5044</v>
      </c>
      <c r="H422" s="4">
        <f>CHOOSE( CONTROL!$C$33, 12.4408, 12.4398) * CHOOSE(CONTROL!$C$16, $D$11, 100%, $F$11)</f>
        <v>12.440799999999999</v>
      </c>
      <c r="I422" s="8">
        <f>CHOOSE( CONTROL!$C$33, 11.3898, 11.3887) * CHOOSE(CONTROL!$C$16, $D$11, 100%, $F$11)</f>
        <v>11.389799999999999</v>
      </c>
      <c r="J422" s="4">
        <f>CHOOSE( CONTROL!$C$33, 11.2578, 11.2567) * CHOOSE(CONTROL!$C$16, $D$11, 100%, $F$11)</f>
        <v>11.2578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1.2927</v>
      </c>
      <c r="Q422" s="9">
        <v>20.2666</v>
      </c>
      <c r="R422" s="9"/>
      <c r="S422" s="11"/>
    </row>
    <row r="423" spans="1:19" ht="15.75">
      <c r="A423" s="13">
        <v>54026</v>
      </c>
      <c r="B423" s="8">
        <f>CHOOSE( CONTROL!$C$33, 12.5196, 12.5186) * CHOOSE(CONTROL!$C$16, $D$11, 100%, $F$11)</f>
        <v>12.519600000000001</v>
      </c>
      <c r="C423" s="8">
        <f>CHOOSE( CONTROL!$C$33, 12.5247, 12.5236) * CHOOSE(CONTROL!$C$16, $D$11, 100%, $F$11)</f>
        <v>12.524699999999999</v>
      </c>
      <c r="D423" s="8">
        <f>CHOOSE( CONTROL!$C$33, 12.5151, 12.514) * CHOOSE( CONTROL!$C$16, $D$11, 100%, $F$11)</f>
        <v>12.5151</v>
      </c>
      <c r="E423" s="12">
        <f>CHOOSE( CONTROL!$C$33, 12.5181, 12.517) * CHOOSE( CONTROL!$C$16, $D$11, 100%, $F$11)</f>
        <v>12.5181</v>
      </c>
      <c r="F423" s="4">
        <f>CHOOSE( CONTROL!$C$33, 13.1798, 13.1787) * CHOOSE(CONTROL!$C$16, $D$11, 100%, $F$11)</f>
        <v>13.1798</v>
      </c>
      <c r="G423" s="8">
        <f>CHOOSE( CONTROL!$C$33, 12.3909, 12.3899) * CHOOSE( CONTROL!$C$16, $D$11, 100%, $F$11)</f>
        <v>12.3909</v>
      </c>
      <c r="H423" s="4">
        <f>CHOOSE( CONTROL!$C$33, 13.2721, 13.271) * CHOOSE(CONTROL!$C$16, $D$11, 100%, $F$11)</f>
        <v>13.2721</v>
      </c>
      <c r="I423" s="8">
        <f>CHOOSE( CONTROL!$C$33, 12.3333, 12.3323) * CHOOSE(CONTROL!$C$16, $D$11, 100%, $F$11)</f>
        <v>12.333299999999999</v>
      </c>
      <c r="J423" s="4">
        <f>CHOOSE( CONTROL!$C$33, 12.1416, 12.1405) * CHOOSE(CONTROL!$C$16, $D$11, 100%, $F$11)</f>
        <v>12.1416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19.6128</v>
      </c>
      <c r="R423" s="9"/>
      <c r="S423" s="11"/>
    </row>
    <row r="424" spans="1:19" ht="15.75">
      <c r="A424" s="13">
        <v>54057</v>
      </c>
      <c r="B424" s="8">
        <f>CHOOSE( CONTROL!$C$33, 12.4969, 12.4958) * CHOOSE(CONTROL!$C$16, $D$11, 100%, $F$11)</f>
        <v>12.4969</v>
      </c>
      <c r="C424" s="8">
        <f>CHOOSE( CONTROL!$C$33, 12.502, 12.5009) * CHOOSE(CONTROL!$C$16, $D$11, 100%, $F$11)</f>
        <v>12.502000000000001</v>
      </c>
      <c r="D424" s="8">
        <f>CHOOSE( CONTROL!$C$33, 12.4938, 12.4927) * CHOOSE( CONTROL!$C$16, $D$11, 100%, $F$11)</f>
        <v>12.4938</v>
      </c>
      <c r="E424" s="12">
        <f>CHOOSE( CONTROL!$C$33, 12.4963, 12.4952) * CHOOSE( CONTROL!$C$16, $D$11, 100%, $F$11)</f>
        <v>12.4963</v>
      </c>
      <c r="F424" s="4">
        <f>CHOOSE( CONTROL!$C$33, 13.157, 13.1559) * CHOOSE(CONTROL!$C$16, $D$11, 100%, $F$11)</f>
        <v>13.157</v>
      </c>
      <c r="G424" s="8">
        <f>CHOOSE( CONTROL!$C$33, 12.3695, 12.3684) * CHOOSE( CONTROL!$C$16, $D$11, 100%, $F$11)</f>
        <v>12.3695</v>
      </c>
      <c r="H424" s="4">
        <f>CHOOSE( CONTROL!$C$33, 13.2496, 13.2485) * CHOOSE(CONTROL!$C$16, $D$11, 100%, $F$11)</f>
        <v>13.249599999999999</v>
      </c>
      <c r="I424" s="8">
        <f>CHOOSE( CONTROL!$C$33, 12.3157, 12.3146) * CHOOSE(CONTROL!$C$16, $D$11, 100%, $F$11)</f>
        <v>12.3157</v>
      </c>
      <c r="J424" s="4">
        <f>CHOOSE( CONTROL!$C$33, 12.1195, 12.1184) * CHOOSE(CONTROL!$C$16, $D$11, 100%, $F$11)</f>
        <v>12.1195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20.2666</v>
      </c>
      <c r="R424" s="9"/>
      <c r="S424" s="11"/>
    </row>
    <row r="425" spans="1:19" ht="15.75">
      <c r="A425" s="13">
        <v>54088</v>
      </c>
      <c r="B425" s="8">
        <f>CHOOSE( CONTROL!$C$33, 12.8652, 12.8641) * CHOOSE(CONTROL!$C$16, $D$11, 100%, $F$11)</f>
        <v>12.8652</v>
      </c>
      <c r="C425" s="8">
        <f>CHOOSE( CONTROL!$C$33, 12.8703, 12.8692) * CHOOSE(CONTROL!$C$16, $D$11, 100%, $F$11)</f>
        <v>12.8703</v>
      </c>
      <c r="D425" s="8">
        <f>CHOOSE( CONTROL!$C$33, 12.8729, 12.8718) * CHOOSE( CONTROL!$C$16, $D$11, 100%, $F$11)</f>
        <v>12.8729</v>
      </c>
      <c r="E425" s="12">
        <f>CHOOSE( CONTROL!$C$33, 12.8714, 12.8703) * CHOOSE( CONTROL!$C$16, $D$11, 100%, $F$11)</f>
        <v>12.8714</v>
      </c>
      <c r="F425" s="4">
        <f>CHOOSE( CONTROL!$C$33, 13.5253, 13.5242) * CHOOSE(CONTROL!$C$16, $D$11, 100%, $F$11)</f>
        <v>13.5253</v>
      </c>
      <c r="G425" s="8">
        <f>CHOOSE( CONTROL!$C$33, 12.7363, 12.7352) * CHOOSE( CONTROL!$C$16, $D$11, 100%, $F$11)</f>
        <v>12.7363</v>
      </c>
      <c r="H425" s="4">
        <f>CHOOSE( CONTROL!$C$33, 13.6136, 13.6125) * CHOOSE(CONTROL!$C$16, $D$11, 100%, $F$11)</f>
        <v>13.6136</v>
      </c>
      <c r="I425" s="8">
        <f>CHOOSE( CONTROL!$C$33, 12.6448, 12.6437) * CHOOSE(CONTROL!$C$16, $D$11, 100%, $F$11)</f>
        <v>12.6448</v>
      </c>
      <c r="J425" s="4">
        <f>CHOOSE( CONTROL!$C$33, 12.4769, 12.4759) * CHOOSE(CONTROL!$C$16, $D$11, 100%, $F$11)</f>
        <v>12.476900000000001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20.201499999999999</v>
      </c>
      <c r="R425" s="9"/>
      <c r="S425" s="11"/>
    </row>
    <row r="426" spans="1:19" ht="15.75">
      <c r="A426" s="13">
        <v>54116</v>
      </c>
      <c r="B426" s="8">
        <f>CHOOSE( CONTROL!$C$33, 12.0341, 12.0331) * CHOOSE(CONTROL!$C$16, $D$11, 100%, $F$11)</f>
        <v>12.0341</v>
      </c>
      <c r="C426" s="8">
        <f>CHOOSE( CONTROL!$C$33, 12.0392, 12.0381) * CHOOSE(CONTROL!$C$16, $D$11, 100%, $F$11)</f>
        <v>12.039199999999999</v>
      </c>
      <c r="D426" s="8">
        <f>CHOOSE( CONTROL!$C$33, 12.0418, 12.0407) * CHOOSE( CONTROL!$C$16, $D$11, 100%, $F$11)</f>
        <v>12.0418</v>
      </c>
      <c r="E426" s="12">
        <f>CHOOSE( CONTROL!$C$33, 12.0403, 12.0392) * CHOOSE( CONTROL!$C$16, $D$11, 100%, $F$11)</f>
        <v>12.0403</v>
      </c>
      <c r="F426" s="4">
        <f>CHOOSE( CONTROL!$C$33, 12.6943, 12.6932) * CHOOSE(CONTROL!$C$16, $D$11, 100%, $F$11)</f>
        <v>12.6943</v>
      </c>
      <c r="G426" s="8">
        <f>CHOOSE( CONTROL!$C$33, 11.9149, 11.9138) * CHOOSE( CONTROL!$C$16, $D$11, 100%, $F$11)</f>
        <v>11.914899999999999</v>
      </c>
      <c r="H426" s="4">
        <f>CHOOSE( CONTROL!$C$33, 12.7923, 12.7912) * CHOOSE(CONTROL!$C$16, $D$11, 100%, $F$11)</f>
        <v>12.792299999999999</v>
      </c>
      <c r="I426" s="8">
        <f>CHOOSE( CONTROL!$C$33, 11.8376, 11.8365) * CHOOSE(CONTROL!$C$16, $D$11, 100%, $F$11)</f>
        <v>11.8376</v>
      </c>
      <c r="J426" s="4">
        <f>CHOOSE( CONTROL!$C$33, 11.6704, 11.6693) * CHOOSE(CONTROL!$C$16, $D$11, 100%, $F$11)</f>
        <v>11.670400000000001</v>
      </c>
      <c r="K426" s="4"/>
      <c r="L426" s="9">
        <v>27.415299999999998</v>
      </c>
      <c r="M426" s="9">
        <v>11.285299999999999</v>
      </c>
      <c r="N426" s="9">
        <v>4.6254999999999997</v>
      </c>
      <c r="O426" s="9">
        <v>0.34989999999999999</v>
      </c>
      <c r="P426" s="9">
        <v>1.2093</v>
      </c>
      <c r="Q426" s="9">
        <v>18.898099999999999</v>
      </c>
      <c r="R426" s="9"/>
      <c r="S426" s="11"/>
    </row>
    <row r="427" spans="1:19" ht="15.75">
      <c r="A427" s="13">
        <v>54148</v>
      </c>
      <c r="B427" s="8">
        <f>CHOOSE( CONTROL!$C$33, 11.7782, 11.7771) * CHOOSE(CONTROL!$C$16, $D$11, 100%, $F$11)</f>
        <v>11.7782</v>
      </c>
      <c r="C427" s="8">
        <f>CHOOSE( CONTROL!$C$33, 11.7833, 11.7822) * CHOOSE(CONTROL!$C$16, $D$11, 100%, $F$11)</f>
        <v>11.783300000000001</v>
      </c>
      <c r="D427" s="8">
        <f>CHOOSE( CONTROL!$C$33, 11.7851, 11.784) * CHOOSE( CONTROL!$C$16, $D$11, 100%, $F$11)</f>
        <v>11.7851</v>
      </c>
      <c r="E427" s="12">
        <f>CHOOSE( CONTROL!$C$33, 11.7839, 11.7828) * CHOOSE( CONTROL!$C$16, $D$11, 100%, $F$11)</f>
        <v>11.783899999999999</v>
      </c>
      <c r="F427" s="4">
        <f>CHOOSE( CONTROL!$C$33, 12.4383, 12.4372) * CHOOSE(CONTROL!$C$16, $D$11, 100%, $F$11)</f>
        <v>12.4383</v>
      </c>
      <c r="G427" s="8">
        <f>CHOOSE( CONTROL!$C$33, 11.6615, 11.6604) * CHOOSE( CONTROL!$C$16, $D$11, 100%, $F$11)</f>
        <v>11.6615</v>
      </c>
      <c r="H427" s="4">
        <f>CHOOSE( CONTROL!$C$33, 12.5393, 12.5382) * CHOOSE(CONTROL!$C$16, $D$11, 100%, $F$11)</f>
        <v>12.539300000000001</v>
      </c>
      <c r="I427" s="8">
        <f>CHOOSE( CONTROL!$C$33, 11.5869, 11.5858) * CHOOSE(CONTROL!$C$16, $D$11, 100%, $F$11)</f>
        <v>11.5869</v>
      </c>
      <c r="J427" s="4">
        <f>CHOOSE( CONTROL!$C$33, 11.422, 11.4209) * CHOOSE(CONTROL!$C$16, $D$11, 100%, $F$11)</f>
        <v>11.422000000000001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20.201499999999999</v>
      </c>
      <c r="R427" s="9"/>
      <c r="S427" s="11"/>
    </row>
    <row r="428" spans="1:19" ht="15.75">
      <c r="A428" s="13">
        <v>54178</v>
      </c>
      <c r="B428" s="8">
        <f>CHOOSE( CONTROL!$C$33, 11.9578, 11.9567) * CHOOSE(CONTROL!$C$16, $D$11, 100%, $F$11)</f>
        <v>11.957800000000001</v>
      </c>
      <c r="C428" s="8">
        <f>CHOOSE( CONTROL!$C$33, 11.9623, 11.9612) * CHOOSE(CONTROL!$C$16, $D$11, 100%, $F$11)</f>
        <v>11.962300000000001</v>
      </c>
      <c r="D428" s="8">
        <f>CHOOSE( CONTROL!$C$33, 11.9867, 11.9856) * CHOOSE( CONTROL!$C$16, $D$11, 100%, $F$11)</f>
        <v>11.986700000000001</v>
      </c>
      <c r="E428" s="12">
        <f>CHOOSE( CONTROL!$C$33, 11.9781, 11.977) * CHOOSE( CONTROL!$C$16, $D$11, 100%, $F$11)</f>
        <v>11.9781</v>
      </c>
      <c r="F428" s="4">
        <f>CHOOSE( CONTROL!$C$33, 12.6867, 12.6856) * CHOOSE(CONTROL!$C$16, $D$11, 100%, $F$11)</f>
        <v>12.6867</v>
      </c>
      <c r="G428" s="8">
        <f>CHOOSE( CONTROL!$C$33, 11.8479, 11.8469) * CHOOSE( CONTROL!$C$16, $D$11, 100%, $F$11)</f>
        <v>11.847899999999999</v>
      </c>
      <c r="H428" s="4">
        <f>CHOOSE( CONTROL!$C$33, 12.7848, 12.7837) * CHOOSE(CONTROL!$C$16, $D$11, 100%, $F$11)</f>
        <v>12.784800000000001</v>
      </c>
      <c r="I428" s="8">
        <f>CHOOSE( CONTROL!$C$33, 11.7258, 11.7248) * CHOOSE(CONTROL!$C$16, $D$11, 100%, $F$11)</f>
        <v>11.7258</v>
      </c>
      <c r="J428" s="4">
        <f>CHOOSE( CONTROL!$C$33, 11.5956, 11.5945) * CHOOSE(CONTROL!$C$16, $D$11, 100%, $F$11)</f>
        <v>11.595599999999999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1.2509999999999999</v>
      </c>
      <c r="Q428" s="9">
        <v>19.549800000000001</v>
      </c>
      <c r="R428" s="9"/>
      <c r="S428" s="11"/>
    </row>
    <row r="429" spans="1:19" ht="15.75">
      <c r="A429" s="13">
        <v>54209</v>
      </c>
      <c r="B429" s="8">
        <f>CHOOSE( CONTROL!$C$33, 12.2781, 12.2764) * CHOOSE(CONTROL!$C$16, $D$11, 100%, $F$11)</f>
        <v>12.2781</v>
      </c>
      <c r="C429" s="8">
        <f>CHOOSE( CONTROL!$C$33, 12.2861, 12.2844) * CHOOSE(CONTROL!$C$16, $D$11, 100%, $F$11)</f>
        <v>12.286099999999999</v>
      </c>
      <c r="D429" s="8">
        <f>CHOOSE( CONTROL!$C$33, 12.3044, 12.3027) * CHOOSE( CONTROL!$C$16, $D$11, 100%, $F$11)</f>
        <v>12.304399999999999</v>
      </c>
      <c r="E429" s="12">
        <f>CHOOSE( CONTROL!$C$33, 12.2965, 12.2948) * CHOOSE( CONTROL!$C$16, $D$11, 100%, $F$11)</f>
        <v>12.2965</v>
      </c>
      <c r="F429" s="4">
        <f>CHOOSE( CONTROL!$C$33, 13.0056, 13.004) * CHOOSE(CONTROL!$C$16, $D$11, 100%, $F$11)</f>
        <v>13.005599999999999</v>
      </c>
      <c r="G429" s="8">
        <f>CHOOSE( CONTROL!$C$33, 12.163, 12.1614) * CHOOSE( CONTROL!$C$16, $D$11, 100%, $F$11)</f>
        <v>12.163</v>
      </c>
      <c r="H429" s="4">
        <f>CHOOSE( CONTROL!$C$33, 13.1, 13.0983) * CHOOSE(CONTROL!$C$16, $D$11, 100%, $F$11)</f>
        <v>13.1</v>
      </c>
      <c r="I429" s="8">
        <f>CHOOSE( CONTROL!$C$33, 12.0349, 12.0332) * CHOOSE(CONTROL!$C$16, $D$11, 100%, $F$11)</f>
        <v>12.0349</v>
      </c>
      <c r="J429" s="4">
        <f>CHOOSE( CONTROL!$C$33, 11.9051, 11.9034) * CHOOSE(CONTROL!$C$16, $D$11, 100%, $F$11)</f>
        <v>11.905099999999999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1.2927</v>
      </c>
      <c r="Q429" s="9">
        <v>20.201499999999999</v>
      </c>
      <c r="R429" s="9"/>
      <c r="S429" s="11"/>
    </row>
    <row r="430" spans="1:19" ht="15.75">
      <c r="A430" s="13">
        <v>54239</v>
      </c>
      <c r="B430" s="8">
        <f>CHOOSE( CONTROL!$C$33, 12.0809, 12.0792) * CHOOSE(CONTROL!$C$16, $D$11, 100%, $F$11)</f>
        <v>12.0809</v>
      </c>
      <c r="C430" s="8">
        <f>CHOOSE( CONTROL!$C$33, 12.0889, 12.0872) * CHOOSE(CONTROL!$C$16, $D$11, 100%, $F$11)</f>
        <v>12.088900000000001</v>
      </c>
      <c r="D430" s="8">
        <f>CHOOSE( CONTROL!$C$33, 12.1074, 12.1057) * CHOOSE( CONTROL!$C$16, $D$11, 100%, $F$11)</f>
        <v>12.1074</v>
      </c>
      <c r="E430" s="12">
        <f>CHOOSE( CONTROL!$C$33, 12.0995, 12.0978) * CHOOSE( CONTROL!$C$16, $D$11, 100%, $F$11)</f>
        <v>12.099500000000001</v>
      </c>
      <c r="F430" s="4">
        <f>CHOOSE( CONTROL!$C$33, 12.8084, 12.8068) * CHOOSE(CONTROL!$C$16, $D$11, 100%, $F$11)</f>
        <v>12.808400000000001</v>
      </c>
      <c r="G430" s="8">
        <f>CHOOSE( CONTROL!$C$33, 11.9683, 11.9667) * CHOOSE( CONTROL!$C$16, $D$11, 100%, $F$11)</f>
        <v>11.968299999999999</v>
      </c>
      <c r="H430" s="4">
        <f>CHOOSE( CONTROL!$C$33, 12.9051, 12.9034) * CHOOSE(CONTROL!$C$16, $D$11, 100%, $F$11)</f>
        <v>12.905099999999999</v>
      </c>
      <c r="I430" s="8">
        <f>CHOOSE( CONTROL!$C$33, 11.8442, 11.8426) * CHOOSE(CONTROL!$C$16, $D$11, 100%, $F$11)</f>
        <v>11.844200000000001</v>
      </c>
      <c r="J430" s="4">
        <f>CHOOSE( CONTROL!$C$33, 11.7137, 11.7121) * CHOOSE(CONTROL!$C$16, $D$11, 100%, $F$11)</f>
        <v>11.713699999999999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1.2509999999999999</v>
      </c>
      <c r="Q430" s="9">
        <v>19.549800000000001</v>
      </c>
      <c r="R430" s="9"/>
      <c r="S430" s="11"/>
    </row>
    <row r="431" spans="1:19" ht="15.75">
      <c r="A431" s="13">
        <v>54270</v>
      </c>
      <c r="B431" s="8">
        <f>CHOOSE( CONTROL!$C$33, 12.6002, 12.5985) * CHOOSE(CONTROL!$C$16, $D$11, 100%, $F$11)</f>
        <v>12.600199999999999</v>
      </c>
      <c r="C431" s="8">
        <f>CHOOSE( CONTROL!$C$33, 12.6081, 12.6065) * CHOOSE(CONTROL!$C$16, $D$11, 100%, $F$11)</f>
        <v>12.6081</v>
      </c>
      <c r="D431" s="8">
        <f>CHOOSE( CONTROL!$C$33, 12.6269, 12.6253) * CHOOSE( CONTROL!$C$16, $D$11, 100%, $F$11)</f>
        <v>12.626899999999999</v>
      </c>
      <c r="E431" s="12">
        <f>CHOOSE( CONTROL!$C$33, 12.6189, 12.6173) * CHOOSE( CONTROL!$C$16, $D$11, 100%, $F$11)</f>
        <v>12.6189</v>
      </c>
      <c r="F431" s="4">
        <f>CHOOSE( CONTROL!$C$33, 13.3277, 13.3261) * CHOOSE(CONTROL!$C$16, $D$11, 100%, $F$11)</f>
        <v>13.3277</v>
      </c>
      <c r="G431" s="8">
        <f>CHOOSE( CONTROL!$C$33, 12.4817, 12.4801) * CHOOSE( CONTROL!$C$16, $D$11, 100%, $F$11)</f>
        <v>12.4817</v>
      </c>
      <c r="H431" s="4">
        <f>CHOOSE( CONTROL!$C$33, 13.4183, 13.4167) * CHOOSE(CONTROL!$C$16, $D$11, 100%, $F$11)</f>
        <v>13.4183</v>
      </c>
      <c r="I431" s="8">
        <f>CHOOSE( CONTROL!$C$33, 12.3493, 12.3477) * CHOOSE(CONTROL!$C$16, $D$11, 100%, $F$11)</f>
        <v>12.349299999999999</v>
      </c>
      <c r="J431" s="4">
        <f>CHOOSE( CONTROL!$C$33, 12.2176, 12.216) * CHOOSE(CONTROL!$C$16, $D$11, 100%, $F$11)</f>
        <v>12.217599999999999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1.2927</v>
      </c>
      <c r="Q431" s="9">
        <v>20.201499999999999</v>
      </c>
      <c r="R431" s="9"/>
      <c r="S431" s="11"/>
    </row>
    <row r="432" spans="1:19" ht="15.75">
      <c r="A432" s="13">
        <v>54301</v>
      </c>
      <c r="B432" s="8">
        <f>CHOOSE( CONTROL!$C$33, 11.6285, 11.6269) * CHOOSE(CONTROL!$C$16, $D$11, 100%, $F$11)</f>
        <v>11.628500000000001</v>
      </c>
      <c r="C432" s="8">
        <f>CHOOSE( CONTROL!$C$33, 11.6365, 11.6348) * CHOOSE(CONTROL!$C$16, $D$11, 100%, $F$11)</f>
        <v>11.6365</v>
      </c>
      <c r="D432" s="8">
        <f>CHOOSE( CONTROL!$C$33, 11.6554, 11.6537) * CHOOSE( CONTROL!$C$16, $D$11, 100%, $F$11)</f>
        <v>11.6554</v>
      </c>
      <c r="E432" s="12">
        <f>CHOOSE( CONTROL!$C$33, 11.6473, 11.6456) * CHOOSE( CONTROL!$C$16, $D$11, 100%, $F$11)</f>
        <v>11.6473</v>
      </c>
      <c r="F432" s="4">
        <f>CHOOSE( CONTROL!$C$33, 12.3561, 12.3544) * CHOOSE(CONTROL!$C$16, $D$11, 100%, $F$11)</f>
        <v>12.3561</v>
      </c>
      <c r="G432" s="8">
        <f>CHOOSE( CONTROL!$C$33, 11.5215, 11.5199) * CHOOSE( CONTROL!$C$16, $D$11, 100%, $F$11)</f>
        <v>11.5215</v>
      </c>
      <c r="H432" s="4">
        <f>CHOOSE( CONTROL!$C$33, 12.458, 12.4564) * CHOOSE(CONTROL!$C$16, $D$11, 100%, $F$11)</f>
        <v>12.458</v>
      </c>
      <c r="I432" s="8">
        <f>CHOOSE( CONTROL!$C$33, 11.4061, 11.4045) * CHOOSE(CONTROL!$C$16, $D$11, 100%, $F$11)</f>
        <v>11.4061</v>
      </c>
      <c r="J432" s="4">
        <f>CHOOSE( CONTROL!$C$33, 11.2747, 11.2731) * CHOOSE(CONTROL!$C$16, $D$11, 100%, $F$11)</f>
        <v>11.274699999999999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1.2927</v>
      </c>
      <c r="Q432" s="9">
        <v>20.201499999999999</v>
      </c>
      <c r="R432" s="9"/>
      <c r="S432" s="11"/>
    </row>
    <row r="433" spans="1:19" ht="15.75">
      <c r="A433" s="13">
        <v>54331</v>
      </c>
      <c r="B433" s="8">
        <f>CHOOSE( CONTROL!$C$33, 11.3852, 11.3836) * CHOOSE(CONTROL!$C$16, $D$11, 100%, $F$11)</f>
        <v>11.385199999999999</v>
      </c>
      <c r="C433" s="8">
        <f>CHOOSE( CONTROL!$C$33, 11.3932, 11.3915) * CHOOSE(CONTROL!$C$16, $D$11, 100%, $F$11)</f>
        <v>11.3932</v>
      </c>
      <c r="D433" s="8">
        <f>CHOOSE( CONTROL!$C$33, 11.4119, 11.4103) * CHOOSE( CONTROL!$C$16, $D$11, 100%, $F$11)</f>
        <v>11.411899999999999</v>
      </c>
      <c r="E433" s="12">
        <f>CHOOSE( CONTROL!$C$33, 11.4039, 11.4023) * CHOOSE( CONTROL!$C$16, $D$11, 100%, $F$11)</f>
        <v>11.4039</v>
      </c>
      <c r="F433" s="4">
        <f>CHOOSE( CONTROL!$C$33, 12.1128, 12.1111) * CHOOSE(CONTROL!$C$16, $D$11, 100%, $F$11)</f>
        <v>12.1128</v>
      </c>
      <c r="G433" s="8">
        <f>CHOOSE( CONTROL!$C$33, 11.281, 11.2793) * CHOOSE( CONTROL!$C$16, $D$11, 100%, $F$11)</f>
        <v>11.281000000000001</v>
      </c>
      <c r="H433" s="4">
        <f>CHOOSE( CONTROL!$C$33, 12.2176, 12.2159) * CHOOSE(CONTROL!$C$16, $D$11, 100%, $F$11)</f>
        <v>12.217599999999999</v>
      </c>
      <c r="I433" s="8">
        <f>CHOOSE( CONTROL!$C$33, 11.1695, 11.1679) * CHOOSE(CONTROL!$C$16, $D$11, 100%, $F$11)</f>
        <v>11.169499999999999</v>
      </c>
      <c r="J433" s="4">
        <f>CHOOSE( CONTROL!$C$33, 11.0385, 11.0369) * CHOOSE(CONTROL!$C$16, $D$11, 100%, $F$11)</f>
        <v>11.038500000000001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1.2509999999999999</v>
      </c>
      <c r="Q433" s="9">
        <v>19.549800000000001</v>
      </c>
      <c r="R433" s="9"/>
      <c r="S433" s="11"/>
    </row>
    <row r="434" spans="1:19" ht="15.75">
      <c r="A434" s="13">
        <v>54362</v>
      </c>
      <c r="B434" s="8">
        <f>CHOOSE( CONTROL!$C$33, 11.8881, 11.887) * CHOOSE(CONTROL!$C$16, $D$11, 100%, $F$11)</f>
        <v>11.8881</v>
      </c>
      <c r="C434" s="8">
        <f>CHOOSE( CONTROL!$C$33, 11.8934, 11.8924) * CHOOSE(CONTROL!$C$16, $D$11, 100%, $F$11)</f>
        <v>11.8934</v>
      </c>
      <c r="D434" s="8">
        <f>CHOOSE( CONTROL!$C$33, 11.9179, 11.9168) * CHOOSE( CONTROL!$C$16, $D$11, 100%, $F$11)</f>
        <v>11.917899999999999</v>
      </c>
      <c r="E434" s="12">
        <f>CHOOSE( CONTROL!$C$33, 11.9092, 11.9082) * CHOOSE( CONTROL!$C$16, $D$11, 100%, $F$11)</f>
        <v>11.9092</v>
      </c>
      <c r="F434" s="4">
        <f>CHOOSE( CONTROL!$C$33, 12.6174, 12.6163) * CHOOSE(CONTROL!$C$16, $D$11, 100%, $F$11)</f>
        <v>12.6174</v>
      </c>
      <c r="G434" s="8">
        <f>CHOOSE( CONTROL!$C$33, 11.7798, 11.7788) * CHOOSE( CONTROL!$C$16, $D$11, 100%, $F$11)</f>
        <v>11.7798</v>
      </c>
      <c r="H434" s="4">
        <f>CHOOSE( CONTROL!$C$33, 12.7163, 12.7152) * CHOOSE(CONTROL!$C$16, $D$11, 100%, $F$11)</f>
        <v>12.7163</v>
      </c>
      <c r="I434" s="8">
        <f>CHOOSE( CONTROL!$C$33, 11.6604, 11.6593) * CHOOSE(CONTROL!$C$16, $D$11, 100%, $F$11)</f>
        <v>11.660399999999999</v>
      </c>
      <c r="J434" s="4">
        <f>CHOOSE( CONTROL!$C$33, 11.5283, 11.5272) * CHOOSE(CONTROL!$C$16, $D$11, 100%, $F$11)</f>
        <v>11.5283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1.2927</v>
      </c>
      <c r="Q434" s="9">
        <v>20.201499999999999</v>
      </c>
      <c r="R434" s="9"/>
      <c r="S434" s="11"/>
    </row>
    <row r="435" spans="1:19" ht="15.75">
      <c r="A435" s="13">
        <v>54392</v>
      </c>
      <c r="B435" s="8">
        <f>CHOOSE( CONTROL!$C$33, 12.8202, 12.8191) * CHOOSE(CONTROL!$C$16, $D$11, 100%, $F$11)</f>
        <v>12.8202</v>
      </c>
      <c r="C435" s="8">
        <f>CHOOSE( CONTROL!$C$33, 12.8253, 12.8242) * CHOOSE(CONTROL!$C$16, $D$11, 100%, $F$11)</f>
        <v>12.8253</v>
      </c>
      <c r="D435" s="8">
        <f>CHOOSE( CONTROL!$C$33, 12.8157, 12.8146) * CHOOSE( CONTROL!$C$16, $D$11, 100%, $F$11)</f>
        <v>12.8157</v>
      </c>
      <c r="E435" s="12">
        <f>CHOOSE( CONTROL!$C$33, 12.8187, 12.8176) * CHOOSE( CONTROL!$C$16, $D$11, 100%, $F$11)</f>
        <v>12.8187</v>
      </c>
      <c r="F435" s="4">
        <f>CHOOSE( CONTROL!$C$33, 13.4803, 13.4793) * CHOOSE(CONTROL!$C$16, $D$11, 100%, $F$11)</f>
        <v>13.4803</v>
      </c>
      <c r="G435" s="8">
        <f>CHOOSE( CONTROL!$C$33, 12.688, 12.6869) * CHOOSE( CONTROL!$C$16, $D$11, 100%, $F$11)</f>
        <v>12.688000000000001</v>
      </c>
      <c r="H435" s="4">
        <f>CHOOSE( CONTROL!$C$33, 13.5691, 13.568) * CHOOSE(CONTROL!$C$16, $D$11, 100%, $F$11)</f>
        <v>13.569100000000001</v>
      </c>
      <c r="I435" s="8">
        <f>CHOOSE( CONTROL!$C$33, 12.6252, 12.6241) * CHOOSE(CONTROL!$C$16, $D$11, 100%, $F$11)</f>
        <v>12.6252</v>
      </c>
      <c r="J435" s="4">
        <f>CHOOSE( CONTROL!$C$33, 12.4333, 12.4322) * CHOOSE(CONTROL!$C$16, $D$11, 100%, $F$11)</f>
        <v>12.433299999999999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19.549800000000001</v>
      </c>
      <c r="R435" s="9"/>
      <c r="S435" s="11"/>
    </row>
    <row r="436" spans="1:19" ht="15.75">
      <c r="A436" s="13">
        <v>54423</v>
      </c>
      <c r="B436" s="8">
        <f>CHOOSE( CONTROL!$C$33, 12.7969, 12.7958) * CHOOSE(CONTROL!$C$16, $D$11, 100%, $F$11)</f>
        <v>12.796900000000001</v>
      </c>
      <c r="C436" s="8">
        <f>CHOOSE( CONTROL!$C$33, 12.802, 12.8009) * CHOOSE(CONTROL!$C$16, $D$11, 100%, $F$11)</f>
        <v>12.802</v>
      </c>
      <c r="D436" s="8">
        <f>CHOOSE( CONTROL!$C$33, 12.7938, 12.7927) * CHOOSE( CONTROL!$C$16, $D$11, 100%, $F$11)</f>
        <v>12.793799999999999</v>
      </c>
      <c r="E436" s="12">
        <f>CHOOSE( CONTROL!$C$33, 12.7963, 12.7952) * CHOOSE( CONTROL!$C$16, $D$11, 100%, $F$11)</f>
        <v>12.7963</v>
      </c>
      <c r="F436" s="4">
        <f>CHOOSE( CONTROL!$C$33, 13.457, 13.456) * CHOOSE(CONTROL!$C$16, $D$11, 100%, $F$11)</f>
        <v>13.457000000000001</v>
      </c>
      <c r="G436" s="8">
        <f>CHOOSE( CONTROL!$C$33, 12.666, 12.6649) * CHOOSE( CONTROL!$C$16, $D$11, 100%, $F$11)</f>
        <v>12.666</v>
      </c>
      <c r="H436" s="4">
        <f>CHOOSE( CONTROL!$C$33, 13.5461, 13.545) * CHOOSE(CONTROL!$C$16, $D$11, 100%, $F$11)</f>
        <v>13.546099999999999</v>
      </c>
      <c r="I436" s="8">
        <f>CHOOSE( CONTROL!$C$33, 12.607, 12.6059) * CHOOSE(CONTROL!$C$16, $D$11, 100%, $F$11)</f>
        <v>12.606999999999999</v>
      </c>
      <c r="J436" s="4">
        <f>CHOOSE( CONTROL!$C$33, 12.4106, 12.4096) * CHOOSE(CONTROL!$C$16, $D$11, 100%, $F$11)</f>
        <v>12.410600000000001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20.201499999999999</v>
      </c>
      <c r="R436" s="9"/>
      <c r="S436" s="11"/>
    </row>
    <row r="437" spans="1:19" ht="15.75">
      <c r="A437" s="13">
        <v>54454</v>
      </c>
      <c r="B437" s="8">
        <f>CHOOSE( CONTROL!$C$33, 13.1741, 13.173) * CHOOSE(CONTROL!$C$16, $D$11, 100%, $F$11)</f>
        <v>13.174099999999999</v>
      </c>
      <c r="C437" s="8">
        <f>CHOOSE( CONTROL!$C$33, 13.1792, 13.1781) * CHOOSE(CONTROL!$C$16, $D$11, 100%, $F$11)</f>
        <v>13.1792</v>
      </c>
      <c r="D437" s="8">
        <f>CHOOSE( CONTROL!$C$33, 13.1818, 13.1807) * CHOOSE( CONTROL!$C$16, $D$11, 100%, $F$11)</f>
        <v>13.181800000000001</v>
      </c>
      <c r="E437" s="12">
        <f>CHOOSE( CONTROL!$C$33, 13.1803, 13.1792) * CHOOSE( CONTROL!$C$16, $D$11, 100%, $F$11)</f>
        <v>13.180300000000001</v>
      </c>
      <c r="F437" s="4">
        <f>CHOOSE( CONTROL!$C$33, 13.8342, 13.8331) * CHOOSE(CONTROL!$C$16, $D$11, 100%, $F$11)</f>
        <v>13.834199999999999</v>
      </c>
      <c r="G437" s="8">
        <f>CHOOSE( CONTROL!$C$33, 13.0416, 13.0405) * CHOOSE( CONTROL!$C$16, $D$11, 100%, $F$11)</f>
        <v>13.041600000000001</v>
      </c>
      <c r="H437" s="4">
        <f>CHOOSE( CONTROL!$C$33, 13.9188, 13.9178) * CHOOSE(CONTROL!$C$16, $D$11, 100%, $F$11)</f>
        <v>13.918799999999999</v>
      </c>
      <c r="I437" s="8">
        <f>CHOOSE( CONTROL!$C$33, 12.9447, 12.9436) * CHOOSE(CONTROL!$C$16, $D$11, 100%, $F$11)</f>
        <v>12.944699999999999</v>
      </c>
      <c r="J437" s="4">
        <f>CHOOSE( CONTROL!$C$33, 12.7767, 12.7756) * CHOOSE(CONTROL!$C$16, $D$11, 100%, $F$11)</f>
        <v>12.7767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20.136399999999998</v>
      </c>
      <c r="R437" s="9"/>
      <c r="S437" s="11"/>
    </row>
    <row r="438" spans="1:19" ht="15.75">
      <c r="A438" s="13">
        <v>54482</v>
      </c>
      <c r="B438" s="8">
        <f>CHOOSE( CONTROL!$C$33, 12.3231, 12.322) * CHOOSE(CONTROL!$C$16, $D$11, 100%, $F$11)</f>
        <v>12.3231</v>
      </c>
      <c r="C438" s="8">
        <f>CHOOSE( CONTROL!$C$33, 12.3281, 12.327) * CHOOSE(CONTROL!$C$16, $D$11, 100%, $F$11)</f>
        <v>12.328099999999999</v>
      </c>
      <c r="D438" s="8">
        <f>CHOOSE( CONTROL!$C$33, 12.3307, 12.3296) * CHOOSE( CONTROL!$C$16, $D$11, 100%, $F$11)</f>
        <v>12.3307</v>
      </c>
      <c r="E438" s="12">
        <f>CHOOSE( CONTROL!$C$33, 12.3292, 12.3281) * CHOOSE( CONTROL!$C$16, $D$11, 100%, $F$11)</f>
        <v>12.3292</v>
      </c>
      <c r="F438" s="4">
        <f>CHOOSE( CONTROL!$C$33, 12.9832, 12.9821) * CHOOSE(CONTROL!$C$16, $D$11, 100%, $F$11)</f>
        <v>12.9832</v>
      </c>
      <c r="G438" s="8">
        <f>CHOOSE( CONTROL!$C$33, 12.2004, 12.1994) * CHOOSE( CONTROL!$C$16, $D$11, 100%, $F$11)</f>
        <v>12.2004</v>
      </c>
      <c r="H438" s="4">
        <f>CHOOSE( CONTROL!$C$33, 13.0778, 13.0767) * CHOOSE(CONTROL!$C$16, $D$11, 100%, $F$11)</f>
        <v>13.0778</v>
      </c>
      <c r="I438" s="8">
        <f>CHOOSE( CONTROL!$C$33, 12.1181, 12.117) * CHOOSE(CONTROL!$C$16, $D$11, 100%, $F$11)</f>
        <v>12.1181</v>
      </c>
      <c r="J438" s="4">
        <f>CHOOSE( CONTROL!$C$33, 11.9508, 11.9497) * CHOOSE(CONTROL!$C$16, $D$11, 100%, $F$11)</f>
        <v>11.950799999999999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18.1877</v>
      </c>
      <c r="R438" s="9"/>
      <c r="S438" s="11"/>
    </row>
    <row r="439" spans="1:19" ht="15.75">
      <c r="A439" s="13">
        <v>54513</v>
      </c>
      <c r="B439" s="8">
        <f>CHOOSE( CONTROL!$C$33, 12.0609, 12.0599) * CHOOSE(CONTROL!$C$16, $D$11, 100%, $F$11)</f>
        <v>12.0609</v>
      </c>
      <c r="C439" s="8">
        <f>CHOOSE( CONTROL!$C$33, 12.066, 12.0649) * CHOOSE(CONTROL!$C$16, $D$11, 100%, $F$11)</f>
        <v>12.066000000000001</v>
      </c>
      <c r="D439" s="8">
        <f>CHOOSE( CONTROL!$C$33, 12.0679, 12.0668) * CHOOSE( CONTROL!$C$16, $D$11, 100%, $F$11)</f>
        <v>12.0679</v>
      </c>
      <c r="E439" s="12">
        <f>CHOOSE( CONTROL!$C$33, 12.0667, 12.0656) * CHOOSE( CONTROL!$C$16, $D$11, 100%, $F$11)</f>
        <v>12.066700000000001</v>
      </c>
      <c r="F439" s="4">
        <f>CHOOSE( CONTROL!$C$33, 12.7211, 12.72) * CHOOSE(CONTROL!$C$16, $D$11, 100%, $F$11)</f>
        <v>12.7211</v>
      </c>
      <c r="G439" s="8">
        <f>CHOOSE( CONTROL!$C$33, 11.9409, 11.9398) * CHOOSE( CONTROL!$C$16, $D$11, 100%, $F$11)</f>
        <v>11.940899999999999</v>
      </c>
      <c r="H439" s="4">
        <f>CHOOSE( CONTROL!$C$33, 12.8187, 12.8177) * CHOOSE(CONTROL!$C$16, $D$11, 100%, $F$11)</f>
        <v>12.8187</v>
      </c>
      <c r="I439" s="8">
        <f>CHOOSE( CONTROL!$C$33, 11.8614, 11.8604) * CHOOSE(CONTROL!$C$16, $D$11, 100%, $F$11)</f>
        <v>11.8614</v>
      </c>
      <c r="J439" s="4">
        <f>CHOOSE( CONTROL!$C$33, 11.6964, 11.6953) * CHOOSE(CONTROL!$C$16, $D$11, 100%, $F$11)</f>
        <v>11.696400000000001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20.136399999999998</v>
      </c>
      <c r="R439" s="9"/>
      <c r="S439" s="11"/>
    </row>
    <row r="440" spans="1:19" ht="15.75">
      <c r="A440" s="13">
        <v>54543</v>
      </c>
      <c r="B440" s="8">
        <f>CHOOSE( CONTROL!$C$33, 12.2449, 12.2438) * CHOOSE(CONTROL!$C$16, $D$11, 100%, $F$11)</f>
        <v>12.244899999999999</v>
      </c>
      <c r="C440" s="8">
        <f>CHOOSE( CONTROL!$C$33, 12.2494, 12.2483) * CHOOSE(CONTROL!$C$16, $D$11, 100%, $F$11)</f>
        <v>12.2494</v>
      </c>
      <c r="D440" s="8">
        <f>CHOOSE( CONTROL!$C$33, 12.2737, 12.2726) * CHOOSE( CONTROL!$C$16, $D$11, 100%, $F$11)</f>
        <v>12.2737</v>
      </c>
      <c r="E440" s="12">
        <f>CHOOSE( CONTROL!$C$33, 12.2652, 12.2641) * CHOOSE( CONTROL!$C$16, $D$11, 100%, $F$11)</f>
        <v>12.2652</v>
      </c>
      <c r="F440" s="4">
        <f>CHOOSE( CONTROL!$C$33, 12.9738, 12.9727) * CHOOSE(CONTROL!$C$16, $D$11, 100%, $F$11)</f>
        <v>12.973800000000001</v>
      </c>
      <c r="G440" s="8">
        <f>CHOOSE( CONTROL!$C$33, 12.1316, 12.1306) * CHOOSE( CONTROL!$C$16, $D$11, 100%, $F$11)</f>
        <v>12.131600000000001</v>
      </c>
      <c r="H440" s="4">
        <f>CHOOSE( CONTROL!$C$33, 13.0685, 13.0674) * CHOOSE(CONTROL!$C$16, $D$11, 100%, $F$11)</f>
        <v>13.0685</v>
      </c>
      <c r="I440" s="8">
        <f>CHOOSE( CONTROL!$C$33, 12.0045, 12.0035) * CHOOSE(CONTROL!$C$16, $D$11, 100%, $F$11)</f>
        <v>12.0045</v>
      </c>
      <c r="J440" s="4">
        <f>CHOOSE( CONTROL!$C$33, 11.8741, 11.8731) * CHOOSE(CONTROL!$C$16, $D$11, 100%, $F$11)</f>
        <v>11.8741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1.2509999999999999</v>
      </c>
      <c r="Q440" s="9">
        <v>19.486799999999999</v>
      </c>
      <c r="R440" s="9"/>
      <c r="S440" s="11"/>
    </row>
    <row r="441" spans="1:19" ht="15.75">
      <c r="A441" s="13">
        <v>54574</v>
      </c>
      <c r="B441" s="8">
        <f>CHOOSE( CONTROL!$C$33, 12.5728, 12.5711) * CHOOSE(CONTROL!$C$16, $D$11, 100%, $F$11)</f>
        <v>12.572800000000001</v>
      </c>
      <c r="C441" s="8">
        <f>CHOOSE( CONTROL!$C$33, 12.5808, 12.5791) * CHOOSE(CONTROL!$C$16, $D$11, 100%, $F$11)</f>
        <v>12.5808</v>
      </c>
      <c r="D441" s="8">
        <f>CHOOSE( CONTROL!$C$33, 12.5991, 12.5974) * CHOOSE( CONTROL!$C$16, $D$11, 100%, $F$11)</f>
        <v>12.5991</v>
      </c>
      <c r="E441" s="12">
        <f>CHOOSE( CONTROL!$C$33, 12.5912, 12.5895) * CHOOSE( CONTROL!$C$16, $D$11, 100%, $F$11)</f>
        <v>12.591200000000001</v>
      </c>
      <c r="F441" s="4">
        <f>CHOOSE( CONTROL!$C$33, 13.3003, 13.2987) * CHOOSE(CONTROL!$C$16, $D$11, 100%, $F$11)</f>
        <v>13.3003</v>
      </c>
      <c r="G441" s="8">
        <f>CHOOSE( CONTROL!$C$33, 12.4543, 12.4526) * CHOOSE( CONTROL!$C$16, $D$11, 100%, $F$11)</f>
        <v>12.4543</v>
      </c>
      <c r="H441" s="4">
        <f>CHOOSE( CONTROL!$C$33, 13.3912, 13.3896) * CHOOSE(CONTROL!$C$16, $D$11, 100%, $F$11)</f>
        <v>13.3912</v>
      </c>
      <c r="I441" s="8">
        <f>CHOOSE( CONTROL!$C$33, 12.321, 12.3194) * CHOOSE(CONTROL!$C$16, $D$11, 100%, $F$11)</f>
        <v>12.321</v>
      </c>
      <c r="J441" s="4">
        <f>CHOOSE( CONTROL!$C$33, 12.1911, 12.1895) * CHOOSE(CONTROL!$C$16, $D$11, 100%, $F$11)</f>
        <v>12.1911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1.2927</v>
      </c>
      <c r="Q441" s="9">
        <v>20.136399999999998</v>
      </c>
      <c r="R441" s="9"/>
      <c r="S441" s="11"/>
    </row>
    <row r="442" spans="1:19" ht="15.75">
      <c r="A442" s="13">
        <v>54604</v>
      </c>
      <c r="B442" s="8">
        <f>CHOOSE( CONTROL!$C$33, 12.3708, 12.3692) * CHOOSE(CONTROL!$C$16, $D$11, 100%, $F$11)</f>
        <v>12.370799999999999</v>
      </c>
      <c r="C442" s="8">
        <f>CHOOSE( CONTROL!$C$33, 12.3788, 12.3772) * CHOOSE(CONTROL!$C$16, $D$11, 100%, $F$11)</f>
        <v>12.3788</v>
      </c>
      <c r="D442" s="8">
        <f>CHOOSE( CONTROL!$C$33, 12.3974, 12.3957) * CHOOSE( CONTROL!$C$16, $D$11, 100%, $F$11)</f>
        <v>12.397399999999999</v>
      </c>
      <c r="E442" s="12">
        <f>CHOOSE( CONTROL!$C$33, 12.3894, 12.3878) * CHOOSE( CONTROL!$C$16, $D$11, 100%, $F$11)</f>
        <v>12.3894</v>
      </c>
      <c r="F442" s="4">
        <f>CHOOSE( CONTROL!$C$33, 13.0984, 13.0967) * CHOOSE(CONTROL!$C$16, $D$11, 100%, $F$11)</f>
        <v>13.0984</v>
      </c>
      <c r="G442" s="8">
        <f>CHOOSE( CONTROL!$C$33, 12.2549, 12.2532) * CHOOSE( CONTROL!$C$16, $D$11, 100%, $F$11)</f>
        <v>12.254899999999999</v>
      </c>
      <c r="H442" s="4">
        <f>CHOOSE( CONTROL!$C$33, 13.1916, 13.19) * CHOOSE(CONTROL!$C$16, $D$11, 100%, $F$11)</f>
        <v>13.191599999999999</v>
      </c>
      <c r="I442" s="8">
        <f>CHOOSE( CONTROL!$C$33, 12.1258, 12.1242) * CHOOSE(CONTROL!$C$16, $D$11, 100%, $F$11)</f>
        <v>12.1258</v>
      </c>
      <c r="J442" s="4">
        <f>CHOOSE( CONTROL!$C$33, 11.9951, 11.9935) * CHOOSE(CONTROL!$C$16, $D$11, 100%, $F$11)</f>
        <v>11.995100000000001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1.2509999999999999</v>
      </c>
      <c r="Q442" s="9">
        <v>19.486799999999999</v>
      </c>
      <c r="R442" s="9"/>
      <c r="S442" s="11"/>
    </row>
    <row r="443" spans="1:19" ht="15.75">
      <c r="A443" s="13">
        <v>54635</v>
      </c>
      <c r="B443" s="8">
        <f>CHOOSE( CONTROL!$C$33, 12.9026, 12.901) * CHOOSE(CONTROL!$C$16, $D$11, 100%, $F$11)</f>
        <v>12.9026</v>
      </c>
      <c r="C443" s="8">
        <f>CHOOSE( CONTROL!$C$33, 12.9106, 12.9089) * CHOOSE(CONTROL!$C$16, $D$11, 100%, $F$11)</f>
        <v>12.910600000000001</v>
      </c>
      <c r="D443" s="8">
        <f>CHOOSE( CONTROL!$C$33, 12.9294, 12.9277) * CHOOSE( CONTROL!$C$16, $D$11, 100%, $F$11)</f>
        <v>12.929399999999999</v>
      </c>
      <c r="E443" s="12">
        <f>CHOOSE( CONTROL!$C$33, 12.9214, 12.9197) * CHOOSE( CONTROL!$C$16, $D$11, 100%, $F$11)</f>
        <v>12.9214</v>
      </c>
      <c r="F443" s="4">
        <f>CHOOSE( CONTROL!$C$33, 13.6302, 13.6285) * CHOOSE(CONTROL!$C$16, $D$11, 100%, $F$11)</f>
        <v>13.6302</v>
      </c>
      <c r="G443" s="8">
        <f>CHOOSE( CONTROL!$C$33, 12.7806, 12.779) * CHOOSE( CONTROL!$C$16, $D$11, 100%, $F$11)</f>
        <v>12.7806</v>
      </c>
      <c r="H443" s="4">
        <f>CHOOSE( CONTROL!$C$33, 13.7172, 13.7156) * CHOOSE(CONTROL!$C$16, $D$11, 100%, $F$11)</f>
        <v>13.7172</v>
      </c>
      <c r="I443" s="8">
        <f>CHOOSE( CONTROL!$C$33, 12.643, 12.6414) * CHOOSE(CONTROL!$C$16, $D$11, 100%, $F$11)</f>
        <v>12.643000000000001</v>
      </c>
      <c r="J443" s="4">
        <f>CHOOSE( CONTROL!$C$33, 12.5112, 12.5096) * CHOOSE(CONTROL!$C$16, $D$11, 100%, $F$11)</f>
        <v>12.511200000000001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1.2927</v>
      </c>
      <c r="Q443" s="9">
        <v>20.136399999999998</v>
      </c>
      <c r="R443" s="9"/>
      <c r="S443" s="11"/>
    </row>
    <row r="444" spans="1:19" ht="15.75">
      <c r="A444" s="13">
        <v>54666</v>
      </c>
      <c r="B444" s="8">
        <f>CHOOSE( CONTROL!$C$33, 11.9076, 11.906) * CHOOSE(CONTROL!$C$16, $D$11, 100%, $F$11)</f>
        <v>11.9076</v>
      </c>
      <c r="C444" s="8">
        <f>CHOOSE( CONTROL!$C$33, 11.9156, 11.9139) * CHOOSE(CONTROL!$C$16, $D$11, 100%, $F$11)</f>
        <v>11.9156</v>
      </c>
      <c r="D444" s="8">
        <f>CHOOSE( CONTROL!$C$33, 11.9345, 11.9328) * CHOOSE( CONTROL!$C$16, $D$11, 100%, $F$11)</f>
        <v>11.9345</v>
      </c>
      <c r="E444" s="12">
        <f>CHOOSE( CONTROL!$C$33, 11.9264, 11.9247) * CHOOSE( CONTROL!$C$16, $D$11, 100%, $F$11)</f>
        <v>11.926399999999999</v>
      </c>
      <c r="F444" s="4">
        <f>CHOOSE( CONTROL!$C$33, 12.6352, 12.6335) * CHOOSE(CONTROL!$C$16, $D$11, 100%, $F$11)</f>
        <v>12.635199999999999</v>
      </c>
      <c r="G444" s="8">
        <f>CHOOSE( CONTROL!$C$33, 11.7973, 11.7957) * CHOOSE( CONTROL!$C$16, $D$11, 100%, $F$11)</f>
        <v>11.7973</v>
      </c>
      <c r="H444" s="4">
        <f>CHOOSE( CONTROL!$C$33, 12.7338, 12.7322) * CHOOSE(CONTROL!$C$16, $D$11, 100%, $F$11)</f>
        <v>12.7338</v>
      </c>
      <c r="I444" s="8">
        <f>CHOOSE( CONTROL!$C$33, 11.6771, 11.6755) * CHOOSE(CONTROL!$C$16, $D$11, 100%, $F$11)</f>
        <v>11.677099999999999</v>
      </c>
      <c r="J444" s="4">
        <f>CHOOSE( CONTROL!$C$33, 11.5455, 11.5439) * CHOOSE(CONTROL!$C$16, $D$11, 100%, $F$11)</f>
        <v>11.545500000000001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1.2927</v>
      </c>
      <c r="Q444" s="9">
        <v>20.136399999999998</v>
      </c>
      <c r="R444" s="9"/>
      <c r="S444" s="11"/>
    </row>
    <row r="445" spans="1:19" ht="15.75">
      <c r="A445" s="13">
        <v>54696</v>
      </c>
      <c r="B445" s="8">
        <f>CHOOSE( CONTROL!$C$33, 11.6585, 11.6568) * CHOOSE(CONTROL!$C$16, $D$11, 100%, $F$11)</f>
        <v>11.6585</v>
      </c>
      <c r="C445" s="8">
        <f>CHOOSE( CONTROL!$C$33, 11.6664, 11.6648) * CHOOSE(CONTROL!$C$16, $D$11, 100%, $F$11)</f>
        <v>11.666399999999999</v>
      </c>
      <c r="D445" s="8">
        <f>CHOOSE( CONTROL!$C$33, 11.6852, 11.6835) * CHOOSE( CONTROL!$C$16, $D$11, 100%, $F$11)</f>
        <v>11.6852</v>
      </c>
      <c r="E445" s="12">
        <f>CHOOSE( CONTROL!$C$33, 11.6772, 11.6755) * CHOOSE( CONTROL!$C$16, $D$11, 100%, $F$11)</f>
        <v>11.677199999999999</v>
      </c>
      <c r="F445" s="4">
        <f>CHOOSE( CONTROL!$C$33, 12.386, 12.3844) * CHOOSE(CONTROL!$C$16, $D$11, 100%, $F$11)</f>
        <v>12.385999999999999</v>
      </c>
      <c r="G445" s="8">
        <f>CHOOSE( CONTROL!$C$33, 11.551, 11.5494) * CHOOSE( CONTROL!$C$16, $D$11, 100%, $F$11)</f>
        <v>11.551</v>
      </c>
      <c r="H445" s="4">
        <f>CHOOSE( CONTROL!$C$33, 12.4876, 12.486) * CHOOSE(CONTROL!$C$16, $D$11, 100%, $F$11)</f>
        <v>12.4876</v>
      </c>
      <c r="I445" s="8">
        <f>CHOOSE( CONTROL!$C$33, 11.4348, 11.4332) * CHOOSE(CONTROL!$C$16, $D$11, 100%, $F$11)</f>
        <v>11.434799999999999</v>
      </c>
      <c r="J445" s="4">
        <f>CHOOSE( CONTROL!$C$33, 11.3037, 11.3021) * CHOOSE(CONTROL!$C$16, $D$11, 100%, $F$11)</f>
        <v>11.303699999999999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1.2509999999999999</v>
      </c>
      <c r="Q445" s="9">
        <v>19.486799999999999</v>
      </c>
      <c r="R445" s="9"/>
      <c r="S445" s="11"/>
    </row>
    <row r="446" spans="1:19" ht="15.75">
      <c r="A446" s="13">
        <v>54727</v>
      </c>
      <c r="B446" s="8">
        <f>CHOOSE( CONTROL!$C$33, 12.1735, 12.1724) * CHOOSE(CONTROL!$C$16, $D$11, 100%, $F$11)</f>
        <v>12.173500000000001</v>
      </c>
      <c r="C446" s="8">
        <f>CHOOSE( CONTROL!$C$33, 12.1788, 12.1777) * CHOOSE(CONTROL!$C$16, $D$11, 100%, $F$11)</f>
        <v>12.178800000000001</v>
      </c>
      <c r="D446" s="8">
        <f>CHOOSE( CONTROL!$C$33, 12.2032, 12.2022) * CHOOSE( CONTROL!$C$16, $D$11, 100%, $F$11)</f>
        <v>12.203200000000001</v>
      </c>
      <c r="E446" s="12">
        <f>CHOOSE( CONTROL!$C$33, 12.1946, 12.1935) * CHOOSE( CONTROL!$C$16, $D$11, 100%, $F$11)</f>
        <v>12.194599999999999</v>
      </c>
      <c r="F446" s="4">
        <f>CHOOSE( CONTROL!$C$33, 12.9028, 12.9017) * CHOOSE(CONTROL!$C$16, $D$11, 100%, $F$11)</f>
        <v>12.902799999999999</v>
      </c>
      <c r="G446" s="8">
        <f>CHOOSE( CONTROL!$C$33, 12.0619, 12.0608) * CHOOSE( CONTROL!$C$16, $D$11, 100%, $F$11)</f>
        <v>12.0619</v>
      </c>
      <c r="H446" s="4">
        <f>CHOOSE( CONTROL!$C$33, 12.9983, 12.9972) * CHOOSE(CONTROL!$C$16, $D$11, 100%, $F$11)</f>
        <v>12.9983</v>
      </c>
      <c r="I446" s="8">
        <f>CHOOSE( CONTROL!$C$33, 11.9375, 11.9364) * CHOOSE(CONTROL!$C$16, $D$11, 100%, $F$11)</f>
        <v>11.9375</v>
      </c>
      <c r="J446" s="4">
        <f>CHOOSE( CONTROL!$C$33, 11.8052, 11.8042) * CHOOSE(CONTROL!$C$16, $D$11, 100%, $F$11)</f>
        <v>11.805199999999999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1.2927</v>
      </c>
      <c r="Q446" s="9">
        <v>20.136399999999998</v>
      </c>
      <c r="R446" s="9"/>
      <c r="S446" s="11"/>
    </row>
    <row r="447" spans="1:19" ht="15.75">
      <c r="A447" s="13">
        <v>54757</v>
      </c>
      <c r="B447" s="8">
        <f>CHOOSE( CONTROL!$C$33, 13.128, 13.1269) * CHOOSE(CONTROL!$C$16, $D$11, 100%, $F$11)</f>
        <v>13.128</v>
      </c>
      <c r="C447" s="8">
        <f>CHOOSE( CONTROL!$C$33, 13.1331, 13.132) * CHOOSE(CONTROL!$C$16, $D$11, 100%, $F$11)</f>
        <v>13.133100000000001</v>
      </c>
      <c r="D447" s="8">
        <f>CHOOSE( CONTROL!$C$33, 13.1235, 13.1224) * CHOOSE( CONTROL!$C$16, $D$11, 100%, $F$11)</f>
        <v>13.1235</v>
      </c>
      <c r="E447" s="12">
        <f>CHOOSE( CONTROL!$C$33, 13.1265, 13.1254) * CHOOSE( CONTROL!$C$16, $D$11, 100%, $F$11)</f>
        <v>13.1265</v>
      </c>
      <c r="F447" s="4">
        <f>CHOOSE( CONTROL!$C$33, 13.7881, 13.787) * CHOOSE(CONTROL!$C$16, $D$11, 100%, $F$11)</f>
        <v>13.7881</v>
      </c>
      <c r="G447" s="8">
        <f>CHOOSE( CONTROL!$C$33, 12.9922, 12.9911) * CHOOSE( CONTROL!$C$16, $D$11, 100%, $F$11)</f>
        <v>12.9922</v>
      </c>
      <c r="H447" s="4">
        <f>CHOOSE( CONTROL!$C$33, 13.8733, 13.8722) * CHOOSE(CONTROL!$C$16, $D$11, 100%, $F$11)</f>
        <v>13.8733</v>
      </c>
      <c r="I447" s="8">
        <f>CHOOSE( CONTROL!$C$33, 12.924, 12.923) * CHOOSE(CONTROL!$C$16, $D$11, 100%, $F$11)</f>
        <v>12.923999999999999</v>
      </c>
      <c r="J447" s="4">
        <f>CHOOSE( CONTROL!$C$33, 12.732, 12.7309) * CHOOSE(CONTROL!$C$16, $D$11, 100%, $F$11)</f>
        <v>12.731999999999999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19.486799999999999</v>
      </c>
      <c r="R447" s="9"/>
      <c r="S447" s="11"/>
    </row>
    <row r="448" spans="1:19" ht="15.75">
      <c r="A448" s="13">
        <v>54788</v>
      </c>
      <c r="B448" s="8">
        <f>CHOOSE( CONTROL!$C$33, 13.1041, 13.1031) * CHOOSE(CONTROL!$C$16, $D$11, 100%, $F$11)</f>
        <v>13.104100000000001</v>
      </c>
      <c r="C448" s="8">
        <f>CHOOSE( CONTROL!$C$33, 13.1092, 13.1081) * CHOOSE(CONTROL!$C$16, $D$11, 100%, $F$11)</f>
        <v>13.1092</v>
      </c>
      <c r="D448" s="8">
        <f>CHOOSE( CONTROL!$C$33, 13.101, 13.1) * CHOOSE( CONTROL!$C$16, $D$11, 100%, $F$11)</f>
        <v>13.101000000000001</v>
      </c>
      <c r="E448" s="12">
        <f>CHOOSE( CONTROL!$C$33, 13.1035, 13.1024) * CHOOSE( CONTROL!$C$16, $D$11, 100%, $F$11)</f>
        <v>13.1035</v>
      </c>
      <c r="F448" s="4">
        <f>CHOOSE( CONTROL!$C$33, 13.7643, 13.7632) * CHOOSE(CONTROL!$C$16, $D$11, 100%, $F$11)</f>
        <v>13.7643</v>
      </c>
      <c r="G448" s="8">
        <f>CHOOSE( CONTROL!$C$33, 12.9696, 12.9685) * CHOOSE( CONTROL!$C$16, $D$11, 100%, $F$11)</f>
        <v>12.9696</v>
      </c>
      <c r="H448" s="4">
        <f>CHOOSE( CONTROL!$C$33, 13.8497, 13.8487) * CHOOSE(CONTROL!$C$16, $D$11, 100%, $F$11)</f>
        <v>13.8497</v>
      </c>
      <c r="I448" s="8">
        <f>CHOOSE( CONTROL!$C$33, 12.9053, 12.9042) * CHOOSE(CONTROL!$C$16, $D$11, 100%, $F$11)</f>
        <v>12.9053</v>
      </c>
      <c r="J448" s="4">
        <f>CHOOSE( CONTROL!$C$33, 12.7088, 12.7078) * CHOOSE(CONTROL!$C$16, $D$11, 100%, $F$11)</f>
        <v>12.7088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20.136399999999998</v>
      </c>
      <c r="R448" s="9"/>
      <c r="S448" s="11"/>
    </row>
    <row r="449" spans="1:19" ht="15.75">
      <c r="A449" s="13">
        <v>54819</v>
      </c>
      <c r="B449" s="8">
        <f>CHOOSE( CONTROL!$C$33, 13.4904, 13.4893) * CHOOSE(CONTROL!$C$16, $D$11, 100%, $F$11)</f>
        <v>13.490399999999999</v>
      </c>
      <c r="C449" s="8">
        <f>CHOOSE( CONTROL!$C$33, 13.4955, 13.4944) * CHOOSE(CONTROL!$C$16, $D$11, 100%, $F$11)</f>
        <v>13.4955</v>
      </c>
      <c r="D449" s="8">
        <f>CHOOSE( CONTROL!$C$33, 13.4981, 13.497) * CHOOSE( CONTROL!$C$16, $D$11, 100%, $F$11)</f>
        <v>13.498100000000001</v>
      </c>
      <c r="E449" s="12">
        <f>CHOOSE( CONTROL!$C$33, 13.4966, 13.4955) * CHOOSE( CONTROL!$C$16, $D$11, 100%, $F$11)</f>
        <v>13.496600000000001</v>
      </c>
      <c r="F449" s="4">
        <f>CHOOSE( CONTROL!$C$33, 14.1505, 14.1494) * CHOOSE(CONTROL!$C$16, $D$11, 100%, $F$11)</f>
        <v>14.150499999999999</v>
      </c>
      <c r="G449" s="8">
        <f>CHOOSE( CONTROL!$C$33, 13.3542, 13.3531) * CHOOSE( CONTROL!$C$16, $D$11, 100%, $F$11)</f>
        <v>13.354200000000001</v>
      </c>
      <c r="H449" s="4">
        <f>CHOOSE( CONTROL!$C$33, 14.2314, 14.2304) * CHOOSE(CONTROL!$C$16, $D$11, 100%, $F$11)</f>
        <v>14.231400000000001</v>
      </c>
      <c r="I449" s="8">
        <f>CHOOSE( CONTROL!$C$33, 13.2518, 13.2507) * CHOOSE(CONTROL!$C$16, $D$11, 100%, $F$11)</f>
        <v>13.251799999999999</v>
      </c>
      <c r="J449" s="4">
        <f>CHOOSE( CONTROL!$C$33, 13.0837, 13.0826) * CHOOSE(CONTROL!$C$16, $D$11, 100%, $F$11)</f>
        <v>13.0837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20.071300000000001</v>
      </c>
      <c r="R449" s="9"/>
      <c r="S449" s="11"/>
    </row>
    <row r="450" spans="1:19" ht="15.75">
      <c r="A450" s="13">
        <v>54847</v>
      </c>
      <c r="B450" s="8">
        <f>CHOOSE( CONTROL!$C$33, 12.6189, 12.6178) * CHOOSE(CONTROL!$C$16, $D$11, 100%, $F$11)</f>
        <v>12.6189</v>
      </c>
      <c r="C450" s="8">
        <f>CHOOSE( CONTROL!$C$33, 12.624, 12.6229) * CHOOSE(CONTROL!$C$16, $D$11, 100%, $F$11)</f>
        <v>12.624000000000001</v>
      </c>
      <c r="D450" s="8">
        <f>CHOOSE( CONTROL!$C$33, 12.6265, 12.6254) * CHOOSE( CONTROL!$C$16, $D$11, 100%, $F$11)</f>
        <v>12.6265</v>
      </c>
      <c r="E450" s="12">
        <f>CHOOSE( CONTROL!$C$33, 12.625, 12.6239) * CHOOSE( CONTROL!$C$16, $D$11, 100%, $F$11)</f>
        <v>12.625</v>
      </c>
      <c r="F450" s="4">
        <f>CHOOSE( CONTROL!$C$33, 13.279, 13.2779) * CHOOSE(CONTROL!$C$16, $D$11, 100%, $F$11)</f>
        <v>13.279</v>
      </c>
      <c r="G450" s="8">
        <f>CHOOSE( CONTROL!$C$33, 12.4928, 12.4918) * CHOOSE( CONTROL!$C$16, $D$11, 100%, $F$11)</f>
        <v>12.492800000000001</v>
      </c>
      <c r="H450" s="4">
        <f>CHOOSE( CONTROL!$C$33, 13.3702, 13.3691) * CHOOSE(CONTROL!$C$16, $D$11, 100%, $F$11)</f>
        <v>13.370200000000001</v>
      </c>
      <c r="I450" s="8">
        <f>CHOOSE( CONTROL!$C$33, 12.4053, 12.4043) * CHOOSE(CONTROL!$C$16, $D$11, 100%, $F$11)</f>
        <v>12.4053</v>
      </c>
      <c r="J450" s="4">
        <f>CHOOSE( CONTROL!$C$33, 12.2379, 12.2368) * CHOOSE(CONTROL!$C$16, $D$11, 100%, $F$11)</f>
        <v>12.2379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18.128900000000002</v>
      </c>
      <c r="R450" s="9"/>
      <c r="S450" s="11"/>
    </row>
    <row r="451" spans="1:19" ht="15.75">
      <c r="A451" s="13">
        <v>54878</v>
      </c>
      <c r="B451" s="8">
        <f>CHOOSE( CONTROL!$C$33, 12.3505, 12.3494) * CHOOSE(CONTROL!$C$16, $D$11, 100%, $F$11)</f>
        <v>12.3505</v>
      </c>
      <c r="C451" s="8">
        <f>CHOOSE( CONTROL!$C$33, 12.3556, 12.3545) * CHOOSE(CONTROL!$C$16, $D$11, 100%, $F$11)</f>
        <v>12.355600000000001</v>
      </c>
      <c r="D451" s="8">
        <f>CHOOSE( CONTROL!$C$33, 12.3574, 12.3564) * CHOOSE( CONTROL!$C$16, $D$11, 100%, $F$11)</f>
        <v>12.3574</v>
      </c>
      <c r="E451" s="12">
        <f>CHOOSE( CONTROL!$C$33, 12.3562, 12.3552) * CHOOSE( CONTROL!$C$16, $D$11, 100%, $F$11)</f>
        <v>12.356199999999999</v>
      </c>
      <c r="F451" s="4">
        <f>CHOOSE( CONTROL!$C$33, 13.0106, 13.0095) * CHOOSE(CONTROL!$C$16, $D$11, 100%, $F$11)</f>
        <v>13.0106</v>
      </c>
      <c r="G451" s="8">
        <f>CHOOSE( CONTROL!$C$33, 12.2271, 12.226) * CHOOSE( CONTROL!$C$16, $D$11, 100%, $F$11)</f>
        <v>12.2271</v>
      </c>
      <c r="H451" s="4">
        <f>CHOOSE( CONTROL!$C$33, 13.1049, 13.1038) * CHOOSE(CONTROL!$C$16, $D$11, 100%, $F$11)</f>
        <v>13.104900000000001</v>
      </c>
      <c r="I451" s="8">
        <f>CHOOSE( CONTROL!$C$33, 12.1426, 12.1415) * CHOOSE(CONTROL!$C$16, $D$11, 100%, $F$11)</f>
        <v>12.1426</v>
      </c>
      <c r="J451" s="4">
        <f>CHOOSE( CONTROL!$C$33, 11.9774, 11.9763) * CHOOSE(CONTROL!$C$16, $D$11, 100%, $F$11)</f>
        <v>11.977399999999999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20.071300000000001</v>
      </c>
      <c r="R451" s="9"/>
      <c r="S451" s="11"/>
    </row>
    <row r="452" spans="1:19" ht="15.75">
      <c r="A452" s="13">
        <v>54908</v>
      </c>
      <c r="B452" s="8">
        <f>CHOOSE( CONTROL!$C$33, 12.5388, 12.5377) * CHOOSE(CONTROL!$C$16, $D$11, 100%, $F$11)</f>
        <v>12.5388</v>
      </c>
      <c r="C452" s="8">
        <f>CHOOSE( CONTROL!$C$33, 12.5433, 12.5422) * CHOOSE(CONTROL!$C$16, $D$11, 100%, $F$11)</f>
        <v>12.5433</v>
      </c>
      <c r="D452" s="8">
        <f>CHOOSE( CONTROL!$C$33, 12.5677, 12.5666) * CHOOSE( CONTROL!$C$16, $D$11, 100%, $F$11)</f>
        <v>12.5677</v>
      </c>
      <c r="E452" s="12">
        <f>CHOOSE( CONTROL!$C$33, 12.5591, 12.558) * CHOOSE( CONTROL!$C$16, $D$11, 100%, $F$11)</f>
        <v>12.559100000000001</v>
      </c>
      <c r="F452" s="4">
        <f>CHOOSE( CONTROL!$C$33, 13.2677, 13.2666) * CHOOSE(CONTROL!$C$16, $D$11, 100%, $F$11)</f>
        <v>13.2677</v>
      </c>
      <c r="G452" s="8">
        <f>CHOOSE( CONTROL!$C$33, 12.4221, 12.4211) * CHOOSE( CONTROL!$C$16, $D$11, 100%, $F$11)</f>
        <v>12.4221</v>
      </c>
      <c r="H452" s="4">
        <f>CHOOSE( CONTROL!$C$33, 13.359, 13.3579) * CHOOSE(CONTROL!$C$16, $D$11, 100%, $F$11)</f>
        <v>13.359</v>
      </c>
      <c r="I452" s="8">
        <f>CHOOSE( CONTROL!$C$33, 12.29, 12.2889) * CHOOSE(CONTROL!$C$16, $D$11, 100%, $F$11)</f>
        <v>12.29</v>
      </c>
      <c r="J452" s="4">
        <f>CHOOSE( CONTROL!$C$33, 12.1594, 12.1584) * CHOOSE(CONTROL!$C$16, $D$11, 100%, $F$11)</f>
        <v>12.1594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1.2509999999999999</v>
      </c>
      <c r="Q452" s="9">
        <v>19.4238</v>
      </c>
      <c r="R452" s="9"/>
      <c r="S452" s="11"/>
    </row>
    <row r="453" spans="1:19" ht="15.75">
      <c r="A453" s="13">
        <v>54939</v>
      </c>
      <c r="B453" s="8">
        <f>CHOOSE( CONTROL!$C$33, 12.8746, 12.8729) * CHOOSE(CONTROL!$C$16, $D$11, 100%, $F$11)</f>
        <v>12.874599999999999</v>
      </c>
      <c r="C453" s="8">
        <f>CHOOSE( CONTROL!$C$33, 12.8825, 12.8809) * CHOOSE(CONTROL!$C$16, $D$11, 100%, $F$11)</f>
        <v>12.8825</v>
      </c>
      <c r="D453" s="8">
        <f>CHOOSE( CONTROL!$C$33, 12.9008, 12.8992) * CHOOSE( CONTROL!$C$16, $D$11, 100%, $F$11)</f>
        <v>12.9008</v>
      </c>
      <c r="E453" s="12">
        <f>CHOOSE( CONTROL!$C$33, 12.893, 12.8913) * CHOOSE( CONTROL!$C$16, $D$11, 100%, $F$11)</f>
        <v>12.893000000000001</v>
      </c>
      <c r="F453" s="4">
        <f>CHOOSE( CONTROL!$C$33, 13.6021, 13.6005) * CHOOSE(CONTROL!$C$16, $D$11, 100%, $F$11)</f>
        <v>13.6021</v>
      </c>
      <c r="G453" s="8">
        <f>CHOOSE( CONTROL!$C$33, 12.7525, 12.7509) * CHOOSE( CONTROL!$C$16, $D$11, 100%, $F$11)</f>
        <v>12.7525</v>
      </c>
      <c r="H453" s="4">
        <f>CHOOSE( CONTROL!$C$33, 13.6895, 13.6878) * CHOOSE(CONTROL!$C$16, $D$11, 100%, $F$11)</f>
        <v>13.689500000000001</v>
      </c>
      <c r="I453" s="8">
        <f>CHOOSE( CONTROL!$C$33, 12.614, 12.6124) * CHOOSE(CONTROL!$C$16, $D$11, 100%, $F$11)</f>
        <v>12.614000000000001</v>
      </c>
      <c r="J453" s="4">
        <f>CHOOSE( CONTROL!$C$33, 12.4839, 12.4823) * CHOOSE(CONTROL!$C$16, $D$11, 100%, $F$11)</f>
        <v>12.4839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1.2927</v>
      </c>
      <c r="Q453" s="9">
        <v>20.071300000000001</v>
      </c>
      <c r="R453" s="9"/>
      <c r="S453" s="11"/>
    </row>
    <row r="454" spans="1:19" ht="15.75">
      <c r="A454" s="13">
        <v>54969</v>
      </c>
      <c r="B454" s="8">
        <f>CHOOSE( CONTROL!$C$33, 12.6678, 12.6661) * CHOOSE(CONTROL!$C$16, $D$11, 100%, $F$11)</f>
        <v>12.6678</v>
      </c>
      <c r="C454" s="8">
        <f>CHOOSE( CONTROL!$C$33, 12.6758, 12.6741) * CHOOSE(CONTROL!$C$16, $D$11, 100%, $F$11)</f>
        <v>12.675800000000001</v>
      </c>
      <c r="D454" s="8">
        <f>CHOOSE( CONTROL!$C$33, 12.6943, 12.6926) * CHOOSE( CONTROL!$C$16, $D$11, 100%, $F$11)</f>
        <v>12.6943</v>
      </c>
      <c r="E454" s="12">
        <f>CHOOSE( CONTROL!$C$33, 12.6864, 12.6847) * CHOOSE( CONTROL!$C$16, $D$11, 100%, $F$11)</f>
        <v>12.686400000000001</v>
      </c>
      <c r="F454" s="4">
        <f>CHOOSE( CONTROL!$C$33, 13.3953, 13.3937) * CHOOSE(CONTROL!$C$16, $D$11, 100%, $F$11)</f>
        <v>13.395300000000001</v>
      </c>
      <c r="G454" s="8">
        <f>CHOOSE( CONTROL!$C$33, 12.5483, 12.5467) * CHOOSE( CONTROL!$C$16, $D$11, 100%, $F$11)</f>
        <v>12.548299999999999</v>
      </c>
      <c r="H454" s="4">
        <f>CHOOSE( CONTROL!$C$33, 13.4851, 13.4835) * CHOOSE(CONTROL!$C$16, $D$11, 100%, $F$11)</f>
        <v>13.485099999999999</v>
      </c>
      <c r="I454" s="8">
        <f>CHOOSE( CONTROL!$C$33, 12.4141, 12.4125) * CHOOSE(CONTROL!$C$16, $D$11, 100%, $F$11)</f>
        <v>12.414099999999999</v>
      </c>
      <c r="J454" s="4">
        <f>CHOOSE( CONTROL!$C$33, 12.2833, 12.2817) * CHOOSE(CONTROL!$C$16, $D$11, 100%, $F$11)</f>
        <v>12.283300000000001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1.2509999999999999</v>
      </c>
      <c r="Q454" s="9">
        <v>19.4238</v>
      </c>
      <c r="R454" s="9"/>
      <c r="S454" s="11"/>
    </row>
    <row r="455" spans="1:19" ht="15.75">
      <c r="A455" s="13">
        <v>55000</v>
      </c>
      <c r="B455" s="8">
        <f>CHOOSE( CONTROL!$C$33, 13.2123, 13.2107) * CHOOSE(CONTROL!$C$16, $D$11, 100%, $F$11)</f>
        <v>13.212300000000001</v>
      </c>
      <c r="C455" s="8">
        <f>CHOOSE( CONTROL!$C$33, 13.2203, 13.2186) * CHOOSE(CONTROL!$C$16, $D$11, 100%, $F$11)</f>
        <v>13.2203</v>
      </c>
      <c r="D455" s="8">
        <f>CHOOSE( CONTROL!$C$33, 13.2391, 13.2374) * CHOOSE( CONTROL!$C$16, $D$11, 100%, $F$11)</f>
        <v>13.239100000000001</v>
      </c>
      <c r="E455" s="12">
        <f>CHOOSE( CONTROL!$C$33, 13.2311, 13.2294) * CHOOSE( CONTROL!$C$16, $D$11, 100%, $F$11)</f>
        <v>13.2311</v>
      </c>
      <c r="F455" s="4">
        <f>CHOOSE( CONTROL!$C$33, 13.9399, 13.9382) * CHOOSE(CONTROL!$C$16, $D$11, 100%, $F$11)</f>
        <v>13.9399</v>
      </c>
      <c r="G455" s="8">
        <f>CHOOSE( CONTROL!$C$33, 13.0867, 13.0851) * CHOOSE( CONTROL!$C$16, $D$11, 100%, $F$11)</f>
        <v>13.0867</v>
      </c>
      <c r="H455" s="4">
        <f>CHOOSE( CONTROL!$C$33, 14.0233, 14.0216) * CHOOSE(CONTROL!$C$16, $D$11, 100%, $F$11)</f>
        <v>14.023300000000001</v>
      </c>
      <c r="I455" s="8">
        <f>CHOOSE( CONTROL!$C$33, 12.9437, 12.9421) * CHOOSE(CONTROL!$C$16, $D$11, 100%, $F$11)</f>
        <v>12.9437</v>
      </c>
      <c r="J455" s="4">
        <f>CHOOSE( CONTROL!$C$33, 12.8117, 12.8101) * CHOOSE(CONTROL!$C$16, $D$11, 100%, $F$11)</f>
        <v>12.8117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1.2927</v>
      </c>
      <c r="Q455" s="9">
        <v>20.071300000000001</v>
      </c>
      <c r="R455" s="9"/>
      <c r="S455" s="11"/>
    </row>
    <row r="456" spans="1:19" ht="15.75">
      <c r="A456" s="13">
        <v>55031</v>
      </c>
      <c r="B456" s="8">
        <f>CHOOSE( CONTROL!$C$33, 12.1934, 12.1918) * CHOOSE(CONTROL!$C$16, $D$11, 100%, $F$11)</f>
        <v>12.1934</v>
      </c>
      <c r="C456" s="8">
        <f>CHOOSE( CONTROL!$C$33, 12.2014, 12.1997) * CHOOSE(CONTROL!$C$16, $D$11, 100%, $F$11)</f>
        <v>12.2014</v>
      </c>
      <c r="D456" s="8">
        <f>CHOOSE( CONTROL!$C$33, 12.2203, 12.2186) * CHOOSE( CONTROL!$C$16, $D$11, 100%, $F$11)</f>
        <v>12.2203</v>
      </c>
      <c r="E456" s="12">
        <f>CHOOSE( CONTROL!$C$33, 12.2122, 12.2105) * CHOOSE( CONTROL!$C$16, $D$11, 100%, $F$11)</f>
        <v>12.212199999999999</v>
      </c>
      <c r="F456" s="4">
        <f>CHOOSE( CONTROL!$C$33, 12.921, 12.9193) * CHOOSE(CONTROL!$C$16, $D$11, 100%, $F$11)</f>
        <v>12.920999999999999</v>
      </c>
      <c r="G456" s="8">
        <f>CHOOSE( CONTROL!$C$33, 12.0798, 12.0781) * CHOOSE( CONTROL!$C$16, $D$11, 100%, $F$11)</f>
        <v>12.079800000000001</v>
      </c>
      <c r="H456" s="4">
        <f>CHOOSE( CONTROL!$C$33, 13.0163, 13.0147) * CHOOSE(CONTROL!$C$16, $D$11, 100%, $F$11)</f>
        <v>13.016299999999999</v>
      </c>
      <c r="I456" s="8">
        <f>CHOOSE( CONTROL!$C$33, 11.9546, 11.953) * CHOOSE(CONTROL!$C$16, $D$11, 100%, $F$11)</f>
        <v>11.954599999999999</v>
      </c>
      <c r="J456" s="4">
        <f>CHOOSE( CONTROL!$C$33, 11.8229, 11.8213) * CHOOSE(CONTROL!$C$16, $D$11, 100%, $F$11)</f>
        <v>11.822900000000001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1.2927</v>
      </c>
      <c r="Q456" s="9">
        <v>20.071300000000001</v>
      </c>
      <c r="R456" s="9"/>
      <c r="S456" s="11"/>
    </row>
    <row r="457" spans="1:19" ht="15.75">
      <c r="A457" s="13">
        <v>55061</v>
      </c>
      <c r="B457" s="8">
        <f>CHOOSE( CONTROL!$C$33, 11.9383, 11.9366) * CHOOSE(CONTROL!$C$16, $D$11, 100%, $F$11)</f>
        <v>11.9383</v>
      </c>
      <c r="C457" s="8">
        <f>CHOOSE( CONTROL!$C$33, 11.9462, 11.9446) * CHOOSE(CONTROL!$C$16, $D$11, 100%, $F$11)</f>
        <v>11.946199999999999</v>
      </c>
      <c r="D457" s="8">
        <f>CHOOSE( CONTROL!$C$33, 11.965, 11.9634) * CHOOSE( CONTROL!$C$16, $D$11, 100%, $F$11)</f>
        <v>11.965</v>
      </c>
      <c r="E457" s="12">
        <f>CHOOSE( CONTROL!$C$33, 11.957, 11.9554) * CHOOSE( CONTROL!$C$16, $D$11, 100%, $F$11)</f>
        <v>11.957000000000001</v>
      </c>
      <c r="F457" s="4">
        <f>CHOOSE( CONTROL!$C$33, 12.6658, 12.6642) * CHOOSE(CONTROL!$C$16, $D$11, 100%, $F$11)</f>
        <v>12.665800000000001</v>
      </c>
      <c r="G457" s="8">
        <f>CHOOSE( CONTROL!$C$33, 11.8275, 11.8259) * CHOOSE( CONTROL!$C$16, $D$11, 100%, $F$11)</f>
        <v>11.827500000000001</v>
      </c>
      <c r="H457" s="4">
        <f>CHOOSE( CONTROL!$C$33, 12.7641, 12.7625) * CHOOSE(CONTROL!$C$16, $D$11, 100%, $F$11)</f>
        <v>12.764099999999999</v>
      </c>
      <c r="I457" s="8">
        <f>CHOOSE( CONTROL!$C$33, 11.7065, 11.7049) * CHOOSE(CONTROL!$C$16, $D$11, 100%, $F$11)</f>
        <v>11.7065</v>
      </c>
      <c r="J457" s="4">
        <f>CHOOSE( CONTROL!$C$33, 11.5753, 11.5737) * CHOOSE(CONTROL!$C$16, $D$11, 100%, $F$11)</f>
        <v>11.5753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1.2509999999999999</v>
      </c>
      <c r="Q457" s="9">
        <v>19.4238</v>
      </c>
      <c r="R457" s="9"/>
      <c r="S457" s="11"/>
    </row>
    <row r="458" spans="1:19" ht="15.75">
      <c r="A458" s="13">
        <v>55092</v>
      </c>
      <c r="B458" s="8">
        <f>CHOOSE( CONTROL!$C$33, 12.4657, 12.4647) * CHOOSE(CONTROL!$C$16, $D$11, 100%, $F$11)</f>
        <v>12.4657</v>
      </c>
      <c r="C458" s="8">
        <f>CHOOSE( CONTROL!$C$33, 12.4711, 12.47) * CHOOSE(CONTROL!$C$16, $D$11, 100%, $F$11)</f>
        <v>12.4711</v>
      </c>
      <c r="D458" s="8">
        <f>CHOOSE( CONTROL!$C$33, 12.4955, 12.4944) * CHOOSE( CONTROL!$C$16, $D$11, 100%, $F$11)</f>
        <v>12.4955</v>
      </c>
      <c r="E458" s="12">
        <f>CHOOSE( CONTROL!$C$33, 12.4869, 12.4858) * CHOOSE( CONTROL!$C$16, $D$11, 100%, $F$11)</f>
        <v>12.4869</v>
      </c>
      <c r="F458" s="4">
        <f>CHOOSE( CONTROL!$C$33, 13.195, 13.1939) * CHOOSE(CONTROL!$C$16, $D$11, 100%, $F$11)</f>
        <v>13.195</v>
      </c>
      <c r="G458" s="8">
        <f>CHOOSE( CONTROL!$C$33, 12.3507, 12.3496) * CHOOSE( CONTROL!$C$16, $D$11, 100%, $F$11)</f>
        <v>12.3507</v>
      </c>
      <c r="H458" s="4">
        <f>CHOOSE( CONTROL!$C$33, 13.2871, 13.2861) * CHOOSE(CONTROL!$C$16, $D$11, 100%, $F$11)</f>
        <v>13.287100000000001</v>
      </c>
      <c r="I458" s="8">
        <f>CHOOSE( CONTROL!$C$33, 12.2212, 12.2202) * CHOOSE(CONTROL!$C$16, $D$11, 100%, $F$11)</f>
        <v>12.2212</v>
      </c>
      <c r="J458" s="4">
        <f>CHOOSE( CONTROL!$C$33, 12.0889, 12.0878) * CHOOSE(CONTROL!$C$16, $D$11, 100%, $F$11)</f>
        <v>12.088900000000001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1.2927</v>
      </c>
      <c r="Q458" s="9">
        <v>20.071300000000001</v>
      </c>
      <c r="R458" s="9"/>
      <c r="S458" s="11"/>
    </row>
    <row r="459" spans="1:19" ht="15.75">
      <c r="A459" s="13">
        <v>55122</v>
      </c>
      <c r="B459" s="8">
        <f>CHOOSE( CONTROL!$C$33, 13.4432, 13.4421) * CHOOSE(CONTROL!$C$16, $D$11, 100%, $F$11)</f>
        <v>13.443199999999999</v>
      </c>
      <c r="C459" s="8">
        <f>CHOOSE( CONTROL!$C$33, 13.4483, 13.4472) * CHOOSE(CONTROL!$C$16, $D$11, 100%, $F$11)</f>
        <v>13.4483</v>
      </c>
      <c r="D459" s="8">
        <f>CHOOSE( CONTROL!$C$33, 13.4387, 13.4376) * CHOOSE( CONTROL!$C$16, $D$11, 100%, $F$11)</f>
        <v>13.438700000000001</v>
      </c>
      <c r="E459" s="12">
        <f>CHOOSE( CONTROL!$C$33, 13.4417, 13.4406) * CHOOSE( CONTROL!$C$16, $D$11, 100%, $F$11)</f>
        <v>13.441700000000001</v>
      </c>
      <c r="F459" s="4">
        <f>CHOOSE( CONTROL!$C$33, 14.1033, 14.1022) * CHOOSE(CONTROL!$C$16, $D$11, 100%, $F$11)</f>
        <v>14.103300000000001</v>
      </c>
      <c r="G459" s="8">
        <f>CHOOSE( CONTROL!$C$33, 13.3037, 13.3026) * CHOOSE( CONTROL!$C$16, $D$11, 100%, $F$11)</f>
        <v>13.303699999999999</v>
      </c>
      <c r="H459" s="4">
        <f>CHOOSE( CONTROL!$C$33, 14.1848, 14.1837) * CHOOSE(CONTROL!$C$16, $D$11, 100%, $F$11)</f>
        <v>14.184799999999999</v>
      </c>
      <c r="I459" s="8">
        <f>CHOOSE( CONTROL!$C$33, 13.2301, 13.229) * CHOOSE(CONTROL!$C$16, $D$11, 100%, $F$11)</f>
        <v>13.2301</v>
      </c>
      <c r="J459" s="4">
        <f>CHOOSE( CONTROL!$C$33, 13.0379, 13.0368) * CHOOSE(CONTROL!$C$16, $D$11, 100%, $F$11)</f>
        <v>13.0379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19.4238</v>
      </c>
      <c r="R459" s="9"/>
      <c r="S459" s="11"/>
    </row>
    <row r="460" spans="1:19" ht="15.75">
      <c r="A460" s="13">
        <v>55153</v>
      </c>
      <c r="B460" s="8">
        <f>CHOOSE( CONTROL!$C$33, 13.4188, 13.4177) * CHOOSE(CONTROL!$C$16, $D$11, 100%, $F$11)</f>
        <v>13.418799999999999</v>
      </c>
      <c r="C460" s="8">
        <f>CHOOSE( CONTROL!$C$33, 13.4238, 13.4228) * CHOOSE(CONTROL!$C$16, $D$11, 100%, $F$11)</f>
        <v>13.4238</v>
      </c>
      <c r="D460" s="8">
        <f>CHOOSE( CONTROL!$C$33, 13.4157, 13.4146) * CHOOSE( CONTROL!$C$16, $D$11, 100%, $F$11)</f>
        <v>13.415699999999999</v>
      </c>
      <c r="E460" s="12">
        <f>CHOOSE( CONTROL!$C$33, 13.4181, 13.4171) * CHOOSE( CONTROL!$C$16, $D$11, 100%, $F$11)</f>
        <v>13.418100000000001</v>
      </c>
      <c r="F460" s="4">
        <f>CHOOSE( CONTROL!$C$33, 14.0789, 14.0778) * CHOOSE(CONTROL!$C$16, $D$11, 100%, $F$11)</f>
        <v>14.078900000000001</v>
      </c>
      <c r="G460" s="8">
        <f>CHOOSE( CONTROL!$C$33, 13.2806, 13.2795) * CHOOSE( CONTROL!$C$16, $D$11, 100%, $F$11)</f>
        <v>13.2806</v>
      </c>
      <c r="H460" s="4">
        <f>CHOOSE( CONTROL!$C$33, 14.1607, 14.1596) * CHOOSE(CONTROL!$C$16, $D$11, 100%, $F$11)</f>
        <v>14.1607</v>
      </c>
      <c r="I460" s="8">
        <f>CHOOSE( CONTROL!$C$33, 13.2108, 13.2097) * CHOOSE(CONTROL!$C$16, $D$11, 100%, $F$11)</f>
        <v>13.210800000000001</v>
      </c>
      <c r="J460" s="4">
        <f>CHOOSE( CONTROL!$C$33, 13.0142, 13.0131) * CHOOSE(CONTROL!$C$16, $D$11, 100%, $F$11)</f>
        <v>13.014200000000001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20.071300000000001</v>
      </c>
      <c r="R460" s="9"/>
      <c r="S460" s="11"/>
    </row>
    <row r="461" spans="1:19" ht="15.75">
      <c r="A461" s="13">
        <v>55184</v>
      </c>
      <c r="B461" s="8">
        <f>CHOOSE( CONTROL!$C$33, 13.8143, 13.8132) * CHOOSE(CONTROL!$C$16, $D$11, 100%, $F$11)</f>
        <v>13.814299999999999</v>
      </c>
      <c r="C461" s="8">
        <f>CHOOSE( CONTROL!$C$33, 13.8193, 13.8183) * CHOOSE(CONTROL!$C$16, $D$11, 100%, $F$11)</f>
        <v>13.8193</v>
      </c>
      <c r="D461" s="8">
        <f>CHOOSE( CONTROL!$C$33, 13.822, 13.8209) * CHOOSE( CONTROL!$C$16, $D$11, 100%, $F$11)</f>
        <v>13.821999999999999</v>
      </c>
      <c r="E461" s="12">
        <f>CHOOSE( CONTROL!$C$33, 13.8205, 13.8194) * CHOOSE( CONTROL!$C$16, $D$11, 100%, $F$11)</f>
        <v>13.820499999999999</v>
      </c>
      <c r="F461" s="4">
        <f>CHOOSE( CONTROL!$C$33, 14.4744, 14.4733) * CHOOSE(CONTROL!$C$16, $D$11, 100%, $F$11)</f>
        <v>14.474399999999999</v>
      </c>
      <c r="G461" s="8">
        <f>CHOOSE( CONTROL!$C$33, 13.6743, 13.6732) * CHOOSE( CONTROL!$C$16, $D$11, 100%, $F$11)</f>
        <v>13.674300000000001</v>
      </c>
      <c r="H461" s="4">
        <f>CHOOSE( CONTROL!$C$33, 14.5515, 14.5505) * CHOOSE(CONTROL!$C$16, $D$11, 100%, $F$11)</f>
        <v>14.551500000000001</v>
      </c>
      <c r="I461" s="8">
        <f>CHOOSE( CONTROL!$C$33, 13.5663, 13.5652) * CHOOSE(CONTROL!$C$16, $D$11, 100%, $F$11)</f>
        <v>13.5663</v>
      </c>
      <c r="J461" s="4">
        <f>CHOOSE( CONTROL!$C$33, 13.398, 13.3969) * CHOOSE(CONTROL!$C$16, $D$11, 100%, $F$11)</f>
        <v>13.398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20.007999999999999</v>
      </c>
      <c r="R461" s="9"/>
      <c r="S461" s="11"/>
    </row>
    <row r="462" spans="1:19" ht="15.75">
      <c r="A462" s="13">
        <v>55212</v>
      </c>
      <c r="B462" s="8">
        <f>CHOOSE( CONTROL!$C$33, 12.9219, 12.9208) * CHOOSE(CONTROL!$C$16, $D$11, 100%, $F$11)</f>
        <v>12.921900000000001</v>
      </c>
      <c r="C462" s="8">
        <f>CHOOSE( CONTROL!$C$33, 12.9269, 12.9258) * CHOOSE(CONTROL!$C$16, $D$11, 100%, $F$11)</f>
        <v>12.9269</v>
      </c>
      <c r="D462" s="8">
        <f>CHOOSE( CONTROL!$C$33, 12.9295, 12.9284) * CHOOSE( CONTROL!$C$16, $D$11, 100%, $F$11)</f>
        <v>12.929500000000001</v>
      </c>
      <c r="E462" s="12">
        <f>CHOOSE( CONTROL!$C$33, 12.928, 12.9269) * CHOOSE( CONTROL!$C$16, $D$11, 100%, $F$11)</f>
        <v>12.928000000000001</v>
      </c>
      <c r="F462" s="4">
        <f>CHOOSE( CONTROL!$C$33, 13.582, 13.5809) * CHOOSE(CONTROL!$C$16, $D$11, 100%, $F$11)</f>
        <v>13.582000000000001</v>
      </c>
      <c r="G462" s="8">
        <f>CHOOSE( CONTROL!$C$33, 12.7922, 12.7912) * CHOOSE( CONTROL!$C$16, $D$11, 100%, $F$11)</f>
        <v>12.792199999999999</v>
      </c>
      <c r="H462" s="4">
        <f>CHOOSE( CONTROL!$C$33, 13.6696, 13.6685) * CHOOSE(CONTROL!$C$16, $D$11, 100%, $F$11)</f>
        <v>13.669600000000001</v>
      </c>
      <c r="I462" s="8">
        <f>CHOOSE( CONTROL!$C$33, 12.6995, 12.6985) * CHOOSE(CONTROL!$C$16, $D$11, 100%, $F$11)</f>
        <v>12.6995</v>
      </c>
      <c r="J462" s="4">
        <f>CHOOSE( CONTROL!$C$33, 12.5319, 12.5309) * CHOOSE(CONTROL!$C$16, $D$11, 100%, $F$11)</f>
        <v>12.5319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18.0718</v>
      </c>
      <c r="R462" s="9"/>
      <c r="S462" s="11"/>
    </row>
    <row r="463" spans="1:19" ht="15.75">
      <c r="A463" s="13">
        <v>55243</v>
      </c>
      <c r="B463" s="8">
        <f>CHOOSE( CONTROL!$C$33, 12.647, 12.6459) * CHOOSE(CONTROL!$C$16, $D$11, 100%, $F$11)</f>
        <v>12.647</v>
      </c>
      <c r="C463" s="8">
        <f>CHOOSE( CONTROL!$C$33, 12.6521, 12.651) * CHOOSE(CONTROL!$C$16, $D$11, 100%, $F$11)</f>
        <v>12.652100000000001</v>
      </c>
      <c r="D463" s="8">
        <f>CHOOSE( CONTROL!$C$33, 12.6539, 12.6529) * CHOOSE( CONTROL!$C$16, $D$11, 100%, $F$11)</f>
        <v>12.6539</v>
      </c>
      <c r="E463" s="12">
        <f>CHOOSE( CONTROL!$C$33, 12.6527, 12.6517) * CHOOSE( CONTROL!$C$16, $D$11, 100%, $F$11)</f>
        <v>12.652699999999999</v>
      </c>
      <c r="F463" s="4">
        <f>CHOOSE( CONTROL!$C$33, 13.3071, 13.306) * CHOOSE(CONTROL!$C$16, $D$11, 100%, $F$11)</f>
        <v>13.3071</v>
      </c>
      <c r="G463" s="8">
        <f>CHOOSE( CONTROL!$C$33, 12.5201, 12.519) * CHOOSE( CONTROL!$C$16, $D$11, 100%, $F$11)</f>
        <v>12.520099999999999</v>
      </c>
      <c r="H463" s="4">
        <f>CHOOSE( CONTROL!$C$33, 13.3979, 13.3969) * CHOOSE(CONTROL!$C$16, $D$11, 100%, $F$11)</f>
        <v>13.3979</v>
      </c>
      <c r="I463" s="8">
        <f>CHOOSE( CONTROL!$C$33, 12.4305, 12.4294) * CHOOSE(CONTROL!$C$16, $D$11, 100%, $F$11)</f>
        <v>12.4305</v>
      </c>
      <c r="J463" s="4">
        <f>CHOOSE( CONTROL!$C$33, 12.2652, 12.2641) * CHOOSE(CONTROL!$C$16, $D$11, 100%, $F$11)</f>
        <v>12.2652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20.007999999999999</v>
      </c>
      <c r="R463" s="9"/>
      <c r="S463" s="11"/>
    </row>
    <row r="464" spans="1:19" ht="15.75">
      <c r="A464" s="13">
        <v>55273</v>
      </c>
      <c r="B464" s="8">
        <f>CHOOSE( CONTROL!$C$33, 12.8398, 12.8387) * CHOOSE(CONTROL!$C$16, $D$11, 100%, $F$11)</f>
        <v>12.8398</v>
      </c>
      <c r="C464" s="8">
        <f>CHOOSE( CONTROL!$C$33, 12.8443, 12.8433) * CHOOSE(CONTROL!$C$16, $D$11, 100%, $F$11)</f>
        <v>12.8443</v>
      </c>
      <c r="D464" s="8">
        <f>CHOOSE( CONTROL!$C$33, 12.8687, 12.8676) * CHOOSE( CONTROL!$C$16, $D$11, 100%, $F$11)</f>
        <v>12.8687</v>
      </c>
      <c r="E464" s="12">
        <f>CHOOSE( CONTROL!$C$33, 12.8601, 12.859) * CHOOSE( CONTROL!$C$16, $D$11, 100%, $F$11)</f>
        <v>12.860099999999999</v>
      </c>
      <c r="F464" s="4">
        <f>CHOOSE( CONTROL!$C$33, 13.5687, 13.5677) * CHOOSE(CONTROL!$C$16, $D$11, 100%, $F$11)</f>
        <v>13.5687</v>
      </c>
      <c r="G464" s="8">
        <f>CHOOSE( CONTROL!$C$33, 12.7196, 12.7186) * CHOOSE( CONTROL!$C$16, $D$11, 100%, $F$11)</f>
        <v>12.7196</v>
      </c>
      <c r="H464" s="4">
        <f>CHOOSE( CONTROL!$C$33, 13.6565, 13.6554) * CHOOSE(CONTROL!$C$16, $D$11, 100%, $F$11)</f>
        <v>13.656499999999999</v>
      </c>
      <c r="I464" s="8">
        <f>CHOOSE( CONTROL!$C$33, 12.5822, 12.5812) * CHOOSE(CONTROL!$C$16, $D$11, 100%, $F$11)</f>
        <v>12.5822</v>
      </c>
      <c r="J464" s="4">
        <f>CHOOSE( CONTROL!$C$33, 12.4516, 12.4505) * CHOOSE(CONTROL!$C$16, $D$11, 100%, $F$11)</f>
        <v>12.451599999999999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1.2509999999999999</v>
      </c>
      <c r="Q464" s="9">
        <v>19.3626</v>
      </c>
      <c r="R464" s="9"/>
      <c r="S464" s="11"/>
    </row>
    <row r="465" spans="1:19" ht="15.75">
      <c r="A465" s="13">
        <v>55304</v>
      </c>
      <c r="B465" s="8">
        <f>CHOOSE( CONTROL!$C$33, 13.1836, 13.1819) * CHOOSE(CONTROL!$C$16, $D$11, 100%, $F$11)</f>
        <v>13.1836</v>
      </c>
      <c r="C465" s="8">
        <f>CHOOSE( CONTROL!$C$33, 13.1916, 13.1899) * CHOOSE(CONTROL!$C$16, $D$11, 100%, $F$11)</f>
        <v>13.191599999999999</v>
      </c>
      <c r="D465" s="8">
        <f>CHOOSE( CONTROL!$C$33, 13.2099, 13.2082) * CHOOSE( CONTROL!$C$16, $D$11, 100%, $F$11)</f>
        <v>13.209899999999999</v>
      </c>
      <c r="E465" s="12">
        <f>CHOOSE( CONTROL!$C$33, 13.202, 13.2003) * CHOOSE( CONTROL!$C$16, $D$11, 100%, $F$11)</f>
        <v>13.202</v>
      </c>
      <c r="F465" s="4">
        <f>CHOOSE( CONTROL!$C$33, 13.9112, 13.9095) * CHOOSE(CONTROL!$C$16, $D$11, 100%, $F$11)</f>
        <v>13.911199999999999</v>
      </c>
      <c r="G465" s="8">
        <f>CHOOSE( CONTROL!$C$33, 13.0579, 13.0563) * CHOOSE( CONTROL!$C$16, $D$11, 100%, $F$11)</f>
        <v>13.0579</v>
      </c>
      <c r="H465" s="4">
        <f>CHOOSE( CONTROL!$C$33, 13.9949, 13.9932) * CHOOSE(CONTROL!$C$16, $D$11, 100%, $F$11)</f>
        <v>13.994899999999999</v>
      </c>
      <c r="I465" s="8">
        <f>CHOOSE( CONTROL!$C$33, 12.9141, 12.9125) * CHOOSE(CONTROL!$C$16, $D$11, 100%, $F$11)</f>
        <v>12.914099999999999</v>
      </c>
      <c r="J465" s="4">
        <f>CHOOSE( CONTROL!$C$33, 12.7839, 12.7823) * CHOOSE(CONTROL!$C$16, $D$11, 100%, $F$11)</f>
        <v>12.783899999999999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1.2927</v>
      </c>
      <c r="Q465" s="9">
        <v>20.007999999999999</v>
      </c>
      <c r="R465" s="9"/>
      <c r="S465" s="11"/>
    </row>
    <row r="466" spans="1:19" ht="15.75">
      <c r="A466" s="13">
        <v>55334</v>
      </c>
      <c r="B466" s="8">
        <f>CHOOSE( CONTROL!$C$33, 12.9718, 12.9702) * CHOOSE(CONTROL!$C$16, $D$11, 100%, $F$11)</f>
        <v>12.9718</v>
      </c>
      <c r="C466" s="8">
        <f>CHOOSE( CONTROL!$C$33, 12.9798, 12.9782) * CHOOSE(CONTROL!$C$16, $D$11, 100%, $F$11)</f>
        <v>12.979799999999999</v>
      </c>
      <c r="D466" s="8">
        <f>CHOOSE( CONTROL!$C$33, 12.9984, 12.9967) * CHOOSE( CONTROL!$C$16, $D$11, 100%, $F$11)</f>
        <v>12.9984</v>
      </c>
      <c r="E466" s="12">
        <f>CHOOSE( CONTROL!$C$33, 12.9904, 12.9888) * CHOOSE( CONTROL!$C$16, $D$11, 100%, $F$11)</f>
        <v>12.990399999999999</v>
      </c>
      <c r="F466" s="4">
        <f>CHOOSE( CONTROL!$C$33, 13.6994, 13.6977) * CHOOSE(CONTROL!$C$16, $D$11, 100%, $F$11)</f>
        <v>13.699400000000001</v>
      </c>
      <c r="G466" s="8">
        <f>CHOOSE( CONTROL!$C$33, 12.8488, 12.8472) * CHOOSE( CONTROL!$C$16, $D$11, 100%, $F$11)</f>
        <v>12.848800000000001</v>
      </c>
      <c r="H466" s="4">
        <f>CHOOSE( CONTROL!$C$33, 13.7856, 13.784) * CHOOSE(CONTROL!$C$16, $D$11, 100%, $F$11)</f>
        <v>13.785600000000001</v>
      </c>
      <c r="I466" s="8">
        <f>CHOOSE( CONTROL!$C$33, 12.7093, 12.7077) * CHOOSE(CONTROL!$C$16, $D$11, 100%, $F$11)</f>
        <v>12.709300000000001</v>
      </c>
      <c r="J466" s="4">
        <f>CHOOSE( CONTROL!$C$33, 12.5784, 12.5767) * CHOOSE(CONTROL!$C$16, $D$11, 100%, $F$11)</f>
        <v>12.5784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1.2509999999999999</v>
      </c>
      <c r="Q466" s="9">
        <v>19.3626</v>
      </c>
      <c r="R466" s="9"/>
      <c r="S466" s="11"/>
    </row>
    <row r="467" spans="1:19" ht="15.75">
      <c r="A467" s="13">
        <v>55365</v>
      </c>
      <c r="B467" s="8">
        <f>CHOOSE( CONTROL!$C$33, 13.5295, 13.5278) * CHOOSE(CONTROL!$C$16, $D$11, 100%, $F$11)</f>
        <v>13.529500000000001</v>
      </c>
      <c r="C467" s="8">
        <f>CHOOSE( CONTROL!$C$33, 13.5375, 13.5358) * CHOOSE(CONTROL!$C$16, $D$11, 100%, $F$11)</f>
        <v>13.5375</v>
      </c>
      <c r="D467" s="8">
        <f>CHOOSE( CONTROL!$C$33, 13.5562, 13.5546) * CHOOSE( CONTROL!$C$16, $D$11, 100%, $F$11)</f>
        <v>13.5562</v>
      </c>
      <c r="E467" s="12">
        <f>CHOOSE( CONTROL!$C$33, 13.5482, 13.5466) * CHOOSE( CONTROL!$C$16, $D$11, 100%, $F$11)</f>
        <v>13.5482</v>
      </c>
      <c r="F467" s="4">
        <f>CHOOSE( CONTROL!$C$33, 14.257, 14.2554) * CHOOSE(CONTROL!$C$16, $D$11, 100%, $F$11)</f>
        <v>14.257</v>
      </c>
      <c r="G467" s="8">
        <f>CHOOSE( CONTROL!$C$33, 13.4001, 13.3985) * CHOOSE( CONTROL!$C$16, $D$11, 100%, $F$11)</f>
        <v>13.4001</v>
      </c>
      <c r="H467" s="4">
        <f>CHOOSE( CONTROL!$C$33, 14.3367, 14.3351) * CHOOSE(CONTROL!$C$16, $D$11, 100%, $F$11)</f>
        <v>14.3367</v>
      </c>
      <c r="I467" s="8">
        <f>CHOOSE( CONTROL!$C$33, 13.2516, 13.25) * CHOOSE(CONTROL!$C$16, $D$11, 100%, $F$11)</f>
        <v>13.2516</v>
      </c>
      <c r="J467" s="4">
        <f>CHOOSE( CONTROL!$C$33, 13.1195, 13.1179) * CHOOSE(CONTROL!$C$16, $D$11, 100%, $F$11)</f>
        <v>13.1195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1.2927</v>
      </c>
      <c r="Q467" s="9">
        <v>20.007999999999999</v>
      </c>
      <c r="R467" s="9"/>
      <c r="S467" s="11"/>
    </row>
    <row r="468" spans="1:19" ht="15.75">
      <c r="A468" s="13">
        <v>55396</v>
      </c>
      <c r="B468" s="8">
        <f>CHOOSE( CONTROL!$C$33, 12.4861, 12.4844) * CHOOSE(CONTROL!$C$16, $D$11, 100%, $F$11)</f>
        <v>12.4861</v>
      </c>
      <c r="C468" s="8">
        <f>CHOOSE( CONTROL!$C$33, 12.4941, 12.4924) * CHOOSE(CONTROL!$C$16, $D$11, 100%, $F$11)</f>
        <v>12.4941</v>
      </c>
      <c r="D468" s="8">
        <f>CHOOSE( CONTROL!$C$33, 12.5129, 12.5113) * CHOOSE( CONTROL!$C$16, $D$11, 100%, $F$11)</f>
        <v>12.5129</v>
      </c>
      <c r="E468" s="12">
        <f>CHOOSE( CONTROL!$C$33, 12.5049, 12.5032) * CHOOSE( CONTROL!$C$16, $D$11, 100%, $F$11)</f>
        <v>12.504899999999999</v>
      </c>
      <c r="F468" s="4">
        <f>CHOOSE( CONTROL!$C$33, 13.2136, 13.212) * CHOOSE(CONTROL!$C$16, $D$11, 100%, $F$11)</f>
        <v>13.2136</v>
      </c>
      <c r="G468" s="8">
        <f>CHOOSE( CONTROL!$C$33, 12.369, 12.3674) * CHOOSE( CONTROL!$C$16, $D$11, 100%, $F$11)</f>
        <v>12.369</v>
      </c>
      <c r="H468" s="4">
        <f>CHOOSE( CONTROL!$C$33, 13.3055, 13.3039) * CHOOSE(CONTROL!$C$16, $D$11, 100%, $F$11)</f>
        <v>13.3055</v>
      </c>
      <c r="I468" s="8">
        <f>CHOOSE( CONTROL!$C$33, 12.2388, 12.2372) * CHOOSE(CONTROL!$C$16, $D$11, 100%, $F$11)</f>
        <v>12.238799999999999</v>
      </c>
      <c r="J468" s="4">
        <f>CHOOSE( CONTROL!$C$33, 12.1069, 12.1053) * CHOOSE(CONTROL!$C$16, $D$11, 100%, $F$11)</f>
        <v>12.1069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1.2927</v>
      </c>
      <c r="Q468" s="9">
        <v>20.007999999999999</v>
      </c>
      <c r="R468" s="9"/>
      <c r="S468" s="11"/>
    </row>
    <row r="469" spans="1:19" ht="15.75">
      <c r="A469" s="13">
        <v>55426</v>
      </c>
      <c r="B469" s="8">
        <f>CHOOSE( CONTROL!$C$33, 12.2248, 12.2232) * CHOOSE(CONTROL!$C$16, $D$11, 100%, $F$11)</f>
        <v>12.2248</v>
      </c>
      <c r="C469" s="8">
        <f>CHOOSE( CONTROL!$C$33, 12.2328, 12.2311) * CHOOSE(CONTROL!$C$16, $D$11, 100%, $F$11)</f>
        <v>12.232799999999999</v>
      </c>
      <c r="D469" s="8">
        <f>CHOOSE( CONTROL!$C$33, 12.2515, 12.2499) * CHOOSE( CONTROL!$C$16, $D$11, 100%, $F$11)</f>
        <v>12.2515</v>
      </c>
      <c r="E469" s="12">
        <f>CHOOSE( CONTROL!$C$33, 12.2435, 12.2419) * CHOOSE( CONTROL!$C$16, $D$11, 100%, $F$11)</f>
        <v>12.243499999999999</v>
      </c>
      <c r="F469" s="4">
        <f>CHOOSE( CONTROL!$C$33, 12.9524, 12.9507) * CHOOSE(CONTROL!$C$16, $D$11, 100%, $F$11)</f>
        <v>12.952400000000001</v>
      </c>
      <c r="G469" s="8">
        <f>CHOOSE( CONTROL!$C$33, 12.1107, 12.1091) * CHOOSE( CONTROL!$C$16, $D$11, 100%, $F$11)</f>
        <v>12.1107</v>
      </c>
      <c r="H469" s="4">
        <f>CHOOSE( CONTROL!$C$33, 13.0473, 13.0457) * CHOOSE(CONTROL!$C$16, $D$11, 100%, $F$11)</f>
        <v>13.0473</v>
      </c>
      <c r="I469" s="8">
        <f>CHOOSE( CONTROL!$C$33, 11.9847, 11.9831) * CHOOSE(CONTROL!$C$16, $D$11, 100%, $F$11)</f>
        <v>11.9847</v>
      </c>
      <c r="J469" s="4">
        <f>CHOOSE( CONTROL!$C$33, 11.8534, 11.8518) * CHOOSE(CONTROL!$C$16, $D$11, 100%, $F$11)</f>
        <v>11.853400000000001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1.2509999999999999</v>
      </c>
      <c r="Q469" s="9">
        <v>19.3626</v>
      </c>
      <c r="R469" s="9"/>
      <c r="S469" s="11"/>
    </row>
    <row r="470" spans="1:19" ht="15.75">
      <c r="A470" s="13">
        <v>55457</v>
      </c>
      <c r="B470" s="8">
        <f>CHOOSE( CONTROL!$C$33, 12.765, 12.7639) * CHOOSE(CONTROL!$C$16, $D$11, 100%, $F$11)</f>
        <v>12.765000000000001</v>
      </c>
      <c r="C470" s="8">
        <f>CHOOSE( CONTROL!$C$33, 12.7703, 12.7693) * CHOOSE(CONTROL!$C$16, $D$11, 100%, $F$11)</f>
        <v>12.770300000000001</v>
      </c>
      <c r="D470" s="8">
        <f>CHOOSE( CONTROL!$C$33, 12.7948, 12.7937) * CHOOSE( CONTROL!$C$16, $D$11, 100%, $F$11)</f>
        <v>12.7948</v>
      </c>
      <c r="E470" s="12">
        <f>CHOOSE( CONTROL!$C$33, 12.7861, 12.7851) * CHOOSE( CONTROL!$C$16, $D$11, 100%, $F$11)</f>
        <v>12.786099999999999</v>
      </c>
      <c r="F470" s="4">
        <f>CHOOSE( CONTROL!$C$33, 13.4943, 13.4932) * CHOOSE(CONTROL!$C$16, $D$11, 100%, $F$11)</f>
        <v>13.494300000000001</v>
      </c>
      <c r="G470" s="8">
        <f>CHOOSE( CONTROL!$C$33, 12.6465, 12.6454) * CHOOSE( CONTROL!$C$16, $D$11, 100%, $F$11)</f>
        <v>12.6465</v>
      </c>
      <c r="H470" s="4">
        <f>CHOOSE( CONTROL!$C$33, 13.5829, 13.5818) * CHOOSE(CONTROL!$C$16, $D$11, 100%, $F$11)</f>
        <v>13.5829</v>
      </c>
      <c r="I470" s="8">
        <f>CHOOSE( CONTROL!$C$33, 12.5118, 12.5108) * CHOOSE(CONTROL!$C$16, $D$11, 100%, $F$11)</f>
        <v>12.511799999999999</v>
      </c>
      <c r="J470" s="4">
        <f>CHOOSE( CONTROL!$C$33, 12.3793, 12.3782) * CHOOSE(CONTROL!$C$16, $D$11, 100%, $F$11)</f>
        <v>12.379300000000001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1.2927</v>
      </c>
      <c r="Q470" s="9">
        <v>20.007999999999999</v>
      </c>
      <c r="R470" s="9"/>
      <c r="S470" s="11"/>
    </row>
    <row r="471" spans="1:19" ht="15.75">
      <c r="A471" s="13">
        <v>55487</v>
      </c>
      <c r="B471" s="8">
        <f>CHOOSE( CONTROL!$C$33, 13.766, 13.7649) * CHOOSE(CONTROL!$C$16, $D$11, 100%, $F$11)</f>
        <v>13.766</v>
      </c>
      <c r="C471" s="8">
        <f>CHOOSE( CONTROL!$C$33, 13.771, 13.7699) * CHOOSE(CONTROL!$C$16, $D$11, 100%, $F$11)</f>
        <v>13.771000000000001</v>
      </c>
      <c r="D471" s="8">
        <f>CHOOSE( CONTROL!$C$33, 13.7614, 13.7603) * CHOOSE( CONTROL!$C$16, $D$11, 100%, $F$11)</f>
        <v>13.7614</v>
      </c>
      <c r="E471" s="12">
        <f>CHOOSE( CONTROL!$C$33, 13.7644, 13.7633) * CHOOSE( CONTROL!$C$16, $D$11, 100%, $F$11)</f>
        <v>13.7644</v>
      </c>
      <c r="F471" s="4">
        <f>CHOOSE( CONTROL!$C$33, 14.4261, 14.425) * CHOOSE(CONTROL!$C$16, $D$11, 100%, $F$11)</f>
        <v>14.4261</v>
      </c>
      <c r="G471" s="8">
        <f>CHOOSE( CONTROL!$C$33, 13.6227, 13.6216) * CHOOSE( CONTROL!$C$16, $D$11, 100%, $F$11)</f>
        <v>13.6227</v>
      </c>
      <c r="H471" s="4">
        <f>CHOOSE( CONTROL!$C$33, 14.5038, 14.5027) * CHOOSE(CONTROL!$C$16, $D$11, 100%, $F$11)</f>
        <v>14.5038</v>
      </c>
      <c r="I471" s="8">
        <f>CHOOSE( CONTROL!$C$33, 13.5435, 13.5424) * CHOOSE(CONTROL!$C$16, $D$11, 100%, $F$11)</f>
        <v>13.5435</v>
      </c>
      <c r="J471" s="4">
        <f>CHOOSE( CONTROL!$C$33, 13.3511, 13.3501) * CHOOSE(CONTROL!$C$16, $D$11, 100%, $F$11)</f>
        <v>13.351100000000001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19.3626</v>
      </c>
      <c r="R471" s="9"/>
      <c r="S471" s="11"/>
    </row>
    <row r="472" spans="1:19" ht="15.75">
      <c r="A472" s="13">
        <v>55518</v>
      </c>
      <c r="B472" s="8">
        <f>CHOOSE( CONTROL!$C$33, 13.7409, 13.7399) * CHOOSE(CONTROL!$C$16, $D$11, 100%, $F$11)</f>
        <v>13.7409</v>
      </c>
      <c r="C472" s="8">
        <f>CHOOSE( CONTROL!$C$33, 13.746, 13.7449) * CHOOSE(CONTROL!$C$16, $D$11, 100%, $F$11)</f>
        <v>13.746</v>
      </c>
      <c r="D472" s="8">
        <f>CHOOSE( CONTROL!$C$33, 13.7378, 13.7367) * CHOOSE( CONTROL!$C$16, $D$11, 100%, $F$11)</f>
        <v>13.7378</v>
      </c>
      <c r="E472" s="12">
        <f>CHOOSE( CONTROL!$C$33, 13.7403, 13.7392) * CHOOSE( CONTROL!$C$16, $D$11, 100%, $F$11)</f>
        <v>13.7403</v>
      </c>
      <c r="F472" s="4">
        <f>CHOOSE( CONTROL!$C$33, 14.4011, 14.4) * CHOOSE(CONTROL!$C$16, $D$11, 100%, $F$11)</f>
        <v>14.4011</v>
      </c>
      <c r="G472" s="8">
        <f>CHOOSE( CONTROL!$C$33, 13.599, 13.5979) * CHOOSE( CONTROL!$C$16, $D$11, 100%, $F$11)</f>
        <v>13.599</v>
      </c>
      <c r="H472" s="4">
        <f>CHOOSE( CONTROL!$C$33, 14.4791, 14.478) * CHOOSE(CONTROL!$C$16, $D$11, 100%, $F$11)</f>
        <v>14.479100000000001</v>
      </c>
      <c r="I472" s="8">
        <f>CHOOSE( CONTROL!$C$33, 13.5236, 13.5226) * CHOOSE(CONTROL!$C$16, $D$11, 100%, $F$11)</f>
        <v>13.5236</v>
      </c>
      <c r="J472" s="4">
        <f>CHOOSE( CONTROL!$C$33, 13.3268, 13.3258) * CHOOSE(CONTROL!$C$16, $D$11, 100%, $F$11)</f>
        <v>13.3268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20.007999999999999</v>
      </c>
      <c r="R472" s="9"/>
      <c r="S472" s="11"/>
    </row>
    <row r="473" spans="1:19" ht="15.75">
      <c r="A473" s="13">
        <v>55549</v>
      </c>
      <c r="B473" s="8">
        <f>CHOOSE( CONTROL!$C$33, 14.146, 14.1449) * CHOOSE(CONTROL!$C$16, $D$11, 100%, $F$11)</f>
        <v>14.146000000000001</v>
      </c>
      <c r="C473" s="8">
        <f>CHOOSE( CONTROL!$C$33, 14.151, 14.1499) * CHOOSE(CONTROL!$C$16, $D$11, 100%, $F$11)</f>
        <v>14.151</v>
      </c>
      <c r="D473" s="8">
        <f>CHOOSE( CONTROL!$C$33, 14.1537, 14.1526) * CHOOSE( CONTROL!$C$16, $D$11, 100%, $F$11)</f>
        <v>14.153700000000001</v>
      </c>
      <c r="E473" s="12">
        <f>CHOOSE( CONTROL!$C$33, 14.1522, 14.1511) * CHOOSE( CONTROL!$C$16, $D$11, 100%, $F$11)</f>
        <v>14.152200000000001</v>
      </c>
      <c r="F473" s="4">
        <f>CHOOSE( CONTROL!$C$33, 14.8061, 14.805) * CHOOSE(CONTROL!$C$16, $D$11, 100%, $F$11)</f>
        <v>14.806100000000001</v>
      </c>
      <c r="G473" s="8">
        <f>CHOOSE( CONTROL!$C$33, 14.0021, 14.001) * CHOOSE( CONTROL!$C$16, $D$11, 100%, $F$11)</f>
        <v>14.0021</v>
      </c>
      <c r="H473" s="4">
        <f>CHOOSE( CONTROL!$C$33, 14.8793, 14.8783) * CHOOSE(CONTROL!$C$16, $D$11, 100%, $F$11)</f>
        <v>14.879300000000001</v>
      </c>
      <c r="I473" s="8">
        <f>CHOOSE( CONTROL!$C$33, 13.8884, 13.8873) * CHOOSE(CONTROL!$C$16, $D$11, 100%, $F$11)</f>
        <v>13.888400000000001</v>
      </c>
      <c r="J473" s="4">
        <f>CHOOSE( CONTROL!$C$33, 13.7199, 13.7188) * CHOOSE(CONTROL!$C$16, $D$11, 100%, $F$11)</f>
        <v>13.719900000000001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19.942900000000002</v>
      </c>
      <c r="R473" s="9"/>
      <c r="S473" s="11"/>
    </row>
    <row r="474" spans="1:19" ht="15.75">
      <c r="A474" s="13">
        <v>55577</v>
      </c>
      <c r="B474" s="8">
        <f>CHOOSE( CONTROL!$C$33, 13.2321, 13.231) * CHOOSE(CONTROL!$C$16, $D$11, 100%, $F$11)</f>
        <v>13.232100000000001</v>
      </c>
      <c r="C474" s="8">
        <f>CHOOSE( CONTROL!$C$33, 13.2372, 13.2361) * CHOOSE(CONTROL!$C$16, $D$11, 100%, $F$11)</f>
        <v>13.2372</v>
      </c>
      <c r="D474" s="8">
        <f>CHOOSE( CONTROL!$C$33, 13.2397, 13.2386) * CHOOSE( CONTROL!$C$16, $D$11, 100%, $F$11)</f>
        <v>13.239699999999999</v>
      </c>
      <c r="E474" s="12">
        <f>CHOOSE( CONTROL!$C$33, 13.2382, 13.2371) * CHOOSE( CONTROL!$C$16, $D$11, 100%, $F$11)</f>
        <v>13.238200000000001</v>
      </c>
      <c r="F474" s="4">
        <f>CHOOSE( CONTROL!$C$33, 13.8922, 13.8911) * CHOOSE(CONTROL!$C$16, $D$11, 100%, $F$11)</f>
        <v>13.892200000000001</v>
      </c>
      <c r="G474" s="8">
        <f>CHOOSE( CONTROL!$C$33, 13.0988, 13.0978) * CHOOSE( CONTROL!$C$16, $D$11, 100%, $F$11)</f>
        <v>13.098800000000001</v>
      </c>
      <c r="H474" s="4">
        <f>CHOOSE( CONTROL!$C$33, 13.9762, 13.9751) * CHOOSE(CONTROL!$C$16, $D$11, 100%, $F$11)</f>
        <v>13.9762</v>
      </c>
      <c r="I474" s="8">
        <f>CHOOSE( CONTROL!$C$33, 13.0007, 12.9997) * CHOOSE(CONTROL!$C$16, $D$11, 100%, $F$11)</f>
        <v>13.0007</v>
      </c>
      <c r="J474" s="4">
        <f>CHOOSE( CONTROL!$C$33, 12.833, 12.8319) * CHOOSE(CONTROL!$C$16, $D$11, 100%, $F$11)</f>
        <v>12.833</v>
      </c>
      <c r="K474" s="4"/>
      <c r="L474" s="9">
        <v>27.415299999999998</v>
      </c>
      <c r="M474" s="9">
        <v>11.285299999999999</v>
      </c>
      <c r="N474" s="9">
        <v>4.6254999999999997</v>
      </c>
      <c r="O474" s="9">
        <v>0.34989999999999999</v>
      </c>
      <c r="P474" s="9">
        <v>1.2093</v>
      </c>
      <c r="Q474" s="9">
        <v>18.656300000000002</v>
      </c>
      <c r="R474" s="9"/>
      <c r="S474" s="11"/>
    </row>
    <row r="475" spans="1:19" ht="15.75">
      <c r="A475" s="13">
        <v>55609</v>
      </c>
      <c r="B475" s="8">
        <f>CHOOSE( CONTROL!$C$33, 12.9506, 12.9495) * CHOOSE(CONTROL!$C$16, $D$11, 100%, $F$11)</f>
        <v>12.9506</v>
      </c>
      <c r="C475" s="8">
        <f>CHOOSE( CONTROL!$C$33, 12.9557, 12.9546) * CHOOSE(CONTROL!$C$16, $D$11, 100%, $F$11)</f>
        <v>12.9557</v>
      </c>
      <c r="D475" s="8">
        <f>CHOOSE( CONTROL!$C$33, 12.9576, 12.9565) * CHOOSE( CONTROL!$C$16, $D$11, 100%, $F$11)</f>
        <v>12.957599999999999</v>
      </c>
      <c r="E475" s="12">
        <f>CHOOSE( CONTROL!$C$33, 12.9564, 12.9553) * CHOOSE( CONTROL!$C$16, $D$11, 100%, $F$11)</f>
        <v>12.9564</v>
      </c>
      <c r="F475" s="4">
        <f>CHOOSE( CONTROL!$C$33, 13.6108, 13.6097) * CHOOSE(CONTROL!$C$16, $D$11, 100%, $F$11)</f>
        <v>13.610799999999999</v>
      </c>
      <c r="G475" s="8">
        <f>CHOOSE( CONTROL!$C$33, 12.8202, 12.8191) * CHOOSE( CONTROL!$C$16, $D$11, 100%, $F$11)</f>
        <v>12.8202</v>
      </c>
      <c r="H475" s="4">
        <f>CHOOSE( CONTROL!$C$33, 13.698, 13.6969) * CHOOSE(CONTROL!$C$16, $D$11, 100%, $F$11)</f>
        <v>13.698</v>
      </c>
      <c r="I475" s="8">
        <f>CHOOSE( CONTROL!$C$33, 12.7253, 12.7243) * CHOOSE(CONTROL!$C$16, $D$11, 100%, $F$11)</f>
        <v>12.725300000000001</v>
      </c>
      <c r="J475" s="4">
        <f>CHOOSE( CONTROL!$C$33, 12.5598, 12.5588) * CHOOSE(CONTROL!$C$16, $D$11, 100%, $F$11)</f>
        <v>12.559799999999999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19.942900000000002</v>
      </c>
      <c r="R475" s="9"/>
      <c r="S475" s="11"/>
    </row>
    <row r="476" spans="1:19" ht="15.75">
      <c r="A476" s="13">
        <v>55639</v>
      </c>
      <c r="B476" s="8">
        <f>CHOOSE( CONTROL!$C$33, 13.1481, 13.147) * CHOOSE(CONTROL!$C$16, $D$11, 100%, $F$11)</f>
        <v>13.148099999999999</v>
      </c>
      <c r="C476" s="8">
        <f>CHOOSE( CONTROL!$C$33, 13.1526, 13.1515) * CHOOSE(CONTROL!$C$16, $D$11, 100%, $F$11)</f>
        <v>13.1526</v>
      </c>
      <c r="D476" s="8">
        <f>CHOOSE( CONTROL!$C$33, 13.1769, 13.1759) * CHOOSE( CONTROL!$C$16, $D$11, 100%, $F$11)</f>
        <v>13.1769</v>
      </c>
      <c r="E476" s="12">
        <f>CHOOSE( CONTROL!$C$33, 13.1684, 13.1673) * CHOOSE( CONTROL!$C$16, $D$11, 100%, $F$11)</f>
        <v>13.1684</v>
      </c>
      <c r="F476" s="4">
        <f>CHOOSE( CONTROL!$C$33, 13.877, 13.8759) * CHOOSE(CONTROL!$C$16, $D$11, 100%, $F$11)</f>
        <v>13.877000000000001</v>
      </c>
      <c r="G476" s="8">
        <f>CHOOSE( CONTROL!$C$33, 13.0243, 13.0232) * CHOOSE( CONTROL!$C$16, $D$11, 100%, $F$11)</f>
        <v>13.0243</v>
      </c>
      <c r="H476" s="4">
        <f>CHOOSE( CONTROL!$C$33, 13.9611, 13.9601) * CHOOSE(CONTROL!$C$16, $D$11, 100%, $F$11)</f>
        <v>13.9611</v>
      </c>
      <c r="I476" s="8">
        <f>CHOOSE( CONTROL!$C$33, 12.8815, 12.8805) * CHOOSE(CONTROL!$C$16, $D$11, 100%, $F$11)</f>
        <v>12.881500000000001</v>
      </c>
      <c r="J476" s="4">
        <f>CHOOSE( CONTROL!$C$33, 12.7507, 12.7497) * CHOOSE(CONTROL!$C$16, $D$11, 100%, $F$11)</f>
        <v>12.7507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1.2509999999999999</v>
      </c>
      <c r="Q476" s="9">
        <v>19.299600000000002</v>
      </c>
      <c r="R476" s="9"/>
      <c r="S476" s="11"/>
    </row>
    <row r="477" spans="1:19" ht="15.75">
      <c r="A477" s="13">
        <v>55670</v>
      </c>
      <c r="B477" s="8">
        <f>CHOOSE( CONTROL!$C$33, 13.5001, 13.4984) * CHOOSE(CONTROL!$C$16, $D$11, 100%, $F$11)</f>
        <v>13.5001</v>
      </c>
      <c r="C477" s="8">
        <f>CHOOSE( CONTROL!$C$33, 13.508, 13.5064) * CHOOSE(CONTROL!$C$16, $D$11, 100%, $F$11)</f>
        <v>13.507999999999999</v>
      </c>
      <c r="D477" s="8">
        <f>CHOOSE( CONTROL!$C$33, 13.5263, 13.5247) * CHOOSE( CONTROL!$C$16, $D$11, 100%, $F$11)</f>
        <v>13.526300000000001</v>
      </c>
      <c r="E477" s="12">
        <f>CHOOSE( CONTROL!$C$33, 13.5185, 13.5168) * CHOOSE( CONTROL!$C$16, $D$11, 100%, $F$11)</f>
        <v>13.5185</v>
      </c>
      <c r="F477" s="4">
        <f>CHOOSE( CONTROL!$C$33, 14.2276, 14.226) * CHOOSE(CONTROL!$C$16, $D$11, 100%, $F$11)</f>
        <v>14.227600000000001</v>
      </c>
      <c r="G477" s="8">
        <f>CHOOSE( CONTROL!$C$33, 13.3707, 13.369) * CHOOSE( CONTROL!$C$16, $D$11, 100%, $F$11)</f>
        <v>13.370699999999999</v>
      </c>
      <c r="H477" s="4">
        <f>CHOOSE( CONTROL!$C$33, 14.3076, 14.306) * CHOOSE(CONTROL!$C$16, $D$11, 100%, $F$11)</f>
        <v>14.307600000000001</v>
      </c>
      <c r="I477" s="8">
        <f>CHOOSE( CONTROL!$C$33, 13.2214, 13.2198) * CHOOSE(CONTROL!$C$16, $D$11, 100%, $F$11)</f>
        <v>13.221399999999999</v>
      </c>
      <c r="J477" s="4">
        <f>CHOOSE( CONTROL!$C$33, 13.091, 13.0894) * CHOOSE(CONTROL!$C$16, $D$11, 100%, $F$11)</f>
        <v>13.090999999999999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1.2927</v>
      </c>
      <c r="Q477" s="9">
        <v>19.942900000000002</v>
      </c>
      <c r="R477" s="9"/>
      <c r="S477" s="11"/>
    </row>
    <row r="478" spans="1:19" ht="15.75">
      <c r="A478" s="13">
        <v>55700</v>
      </c>
      <c r="B478" s="8">
        <f>CHOOSE( CONTROL!$C$33, 13.2832, 13.2816) * CHOOSE(CONTROL!$C$16, $D$11, 100%, $F$11)</f>
        <v>13.283200000000001</v>
      </c>
      <c r="C478" s="8">
        <f>CHOOSE( CONTROL!$C$33, 13.2912, 13.2895) * CHOOSE(CONTROL!$C$16, $D$11, 100%, $F$11)</f>
        <v>13.2912</v>
      </c>
      <c r="D478" s="8">
        <f>CHOOSE( CONTROL!$C$33, 13.3097, 13.3081) * CHOOSE( CONTROL!$C$16, $D$11, 100%, $F$11)</f>
        <v>13.309699999999999</v>
      </c>
      <c r="E478" s="12">
        <f>CHOOSE( CONTROL!$C$33, 13.3018, 13.3002) * CHOOSE( CONTROL!$C$16, $D$11, 100%, $F$11)</f>
        <v>13.3018</v>
      </c>
      <c r="F478" s="4">
        <f>CHOOSE( CONTROL!$C$33, 14.0108, 14.0091) * CHOOSE(CONTROL!$C$16, $D$11, 100%, $F$11)</f>
        <v>14.0108</v>
      </c>
      <c r="G478" s="8">
        <f>CHOOSE( CONTROL!$C$33, 13.1566, 13.1549) * CHOOSE( CONTROL!$C$16, $D$11, 100%, $F$11)</f>
        <v>13.156599999999999</v>
      </c>
      <c r="H478" s="4">
        <f>CHOOSE( CONTROL!$C$33, 14.0933, 14.0917) * CHOOSE(CONTROL!$C$16, $D$11, 100%, $F$11)</f>
        <v>14.093299999999999</v>
      </c>
      <c r="I478" s="8">
        <f>CHOOSE( CONTROL!$C$33, 13.0117, 13.0101) * CHOOSE(CONTROL!$C$16, $D$11, 100%, $F$11)</f>
        <v>13.011699999999999</v>
      </c>
      <c r="J478" s="4">
        <f>CHOOSE( CONTROL!$C$33, 12.8805, 12.8789) * CHOOSE(CONTROL!$C$16, $D$11, 100%, $F$11)</f>
        <v>12.8805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1.2509999999999999</v>
      </c>
      <c r="Q478" s="9">
        <v>19.299600000000002</v>
      </c>
      <c r="R478" s="9"/>
      <c r="S478" s="11"/>
    </row>
    <row r="479" spans="1:19" ht="15.75">
      <c r="A479" s="13">
        <v>55731</v>
      </c>
      <c r="B479" s="8">
        <f>CHOOSE( CONTROL!$C$33, 13.8542, 13.8526) * CHOOSE(CONTROL!$C$16, $D$11, 100%, $F$11)</f>
        <v>13.854200000000001</v>
      </c>
      <c r="C479" s="8">
        <f>CHOOSE( CONTROL!$C$33, 13.8622, 13.8606) * CHOOSE(CONTROL!$C$16, $D$11, 100%, $F$11)</f>
        <v>13.8622</v>
      </c>
      <c r="D479" s="8">
        <f>CHOOSE( CONTROL!$C$33, 13.881, 13.8794) * CHOOSE( CONTROL!$C$16, $D$11, 100%, $F$11)</f>
        <v>13.881</v>
      </c>
      <c r="E479" s="12">
        <f>CHOOSE( CONTROL!$C$33, 13.873, 13.8714) * CHOOSE( CONTROL!$C$16, $D$11, 100%, $F$11)</f>
        <v>13.872999999999999</v>
      </c>
      <c r="F479" s="4">
        <f>CHOOSE( CONTROL!$C$33, 14.5818, 14.5801) * CHOOSE(CONTROL!$C$16, $D$11, 100%, $F$11)</f>
        <v>14.581799999999999</v>
      </c>
      <c r="G479" s="8">
        <f>CHOOSE( CONTROL!$C$33, 13.7211, 13.7195) * CHOOSE( CONTROL!$C$16, $D$11, 100%, $F$11)</f>
        <v>13.7211</v>
      </c>
      <c r="H479" s="4">
        <f>CHOOSE( CONTROL!$C$33, 14.6577, 14.656) * CHOOSE(CONTROL!$C$16, $D$11, 100%, $F$11)</f>
        <v>14.6577</v>
      </c>
      <c r="I479" s="8">
        <f>CHOOSE( CONTROL!$C$33, 13.567, 13.5654) * CHOOSE(CONTROL!$C$16, $D$11, 100%, $F$11)</f>
        <v>13.567</v>
      </c>
      <c r="J479" s="4">
        <f>CHOOSE( CONTROL!$C$33, 13.4347, 13.4331) * CHOOSE(CONTROL!$C$16, $D$11, 100%, $F$11)</f>
        <v>13.434699999999999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1.2927</v>
      </c>
      <c r="Q479" s="9">
        <v>19.942900000000002</v>
      </c>
      <c r="R479" s="9"/>
      <c r="S479" s="11"/>
    </row>
    <row r="480" spans="1:19" ht="15.75">
      <c r="A480" s="13">
        <v>55762</v>
      </c>
      <c r="B480" s="8">
        <f>CHOOSE( CONTROL!$C$33, 12.7858, 12.7841) * CHOOSE(CONTROL!$C$16, $D$11, 100%, $F$11)</f>
        <v>12.7858</v>
      </c>
      <c r="C480" s="8">
        <f>CHOOSE( CONTROL!$C$33, 12.7938, 12.7921) * CHOOSE(CONTROL!$C$16, $D$11, 100%, $F$11)</f>
        <v>12.793799999999999</v>
      </c>
      <c r="D480" s="8">
        <f>CHOOSE( CONTROL!$C$33, 12.8126, 12.811) * CHOOSE( CONTROL!$C$16, $D$11, 100%, $F$11)</f>
        <v>12.8126</v>
      </c>
      <c r="E480" s="12">
        <f>CHOOSE( CONTROL!$C$33, 12.8046, 12.8029) * CHOOSE( CONTROL!$C$16, $D$11, 100%, $F$11)</f>
        <v>12.804600000000001</v>
      </c>
      <c r="F480" s="4">
        <f>CHOOSE( CONTROL!$C$33, 13.5133, 13.5117) * CHOOSE(CONTROL!$C$16, $D$11, 100%, $F$11)</f>
        <v>13.513299999999999</v>
      </c>
      <c r="G480" s="8">
        <f>CHOOSE( CONTROL!$C$33, 12.6652, 12.6636) * CHOOSE( CONTROL!$C$16, $D$11, 100%, $F$11)</f>
        <v>12.6652</v>
      </c>
      <c r="H480" s="4">
        <f>CHOOSE( CONTROL!$C$33, 13.6017, 13.6001) * CHOOSE(CONTROL!$C$16, $D$11, 100%, $F$11)</f>
        <v>13.601699999999999</v>
      </c>
      <c r="I480" s="8">
        <f>CHOOSE( CONTROL!$C$33, 12.5298, 12.5282) * CHOOSE(CONTROL!$C$16, $D$11, 100%, $F$11)</f>
        <v>12.5298</v>
      </c>
      <c r="J480" s="4">
        <f>CHOOSE( CONTROL!$C$33, 12.3978, 12.3962) * CHOOSE(CONTROL!$C$16, $D$11, 100%, $F$11)</f>
        <v>12.3978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1.2927</v>
      </c>
      <c r="Q480" s="9">
        <v>19.942900000000002</v>
      </c>
      <c r="R480" s="9"/>
      <c r="S480" s="11"/>
    </row>
    <row r="481" spans="1:19" ht="15.75">
      <c r="A481" s="13">
        <v>55792</v>
      </c>
      <c r="B481" s="8">
        <f>CHOOSE( CONTROL!$C$33, 12.5182, 12.5166) * CHOOSE(CONTROL!$C$16, $D$11, 100%, $F$11)</f>
        <v>12.5182</v>
      </c>
      <c r="C481" s="8">
        <f>CHOOSE( CONTROL!$C$33, 12.5262, 12.5246) * CHOOSE(CONTROL!$C$16, $D$11, 100%, $F$11)</f>
        <v>12.526199999999999</v>
      </c>
      <c r="D481" s="8">
        <f>CHOOSE( CONTROL!$C$33, 12.545, 12.5433) * CHOOSE( CONTROL!$C$16, $D$11, 100%, $F$11)</f>
        <v>12.545</v>
      </c>
      <c r="E481" s="12">
        <f>CHOOSE( CONTROL!$C$33, 12.537, 12.5353) * CHOOSE( CONTROL!$C$16, $D$11, 100%, $F$11)</f>
        <v>12.537000000000001</v>
      </c>
      <c r="F481" s="4">
        <f>CHOOSE( CONTROL!$C$33, 13.2458, 13.2441) * CHOOSE(CONTROL!$C$16, $D$11, 100%, $F$11)</f>
        <v>13.245799999999999</v>
      </c>
      <c r="G481" s="8">
        <f>CHOOSE( CONTROL!$C$33, 12.4007, 12.3991) * CHOOSE( CONTROL!$C$16, $D$11, 100%, $F$11)</f>
        <v>12.400700000000001</v>
      </c>
      <c r="H481" s="4">
        <f>CHOOSE( CONTROL!$C$33, 13.3373, 13.3357) * CHOOSE(CONTROL!$C$16, $D$11, 100%, $F$11)</f>
        <v>13.337300000000001</v>
      </c>
      <c r="I481" s="8">
        <f>CHOOSE( CONTROL!$C$33, 12.2696, 12.268) * CHOOSE(CONTROL!$C$16, $D$11, 100%, $F$11)</f>
        <v>12.269600000000001</v>
      </c>
      <c r="J481" s="4">
        <f>CHOOSE( CONTROL!$C$33, 12.1381, 12.1365) * CHOOSE(CONTROL!$C$16, $D$11, 100%, $F$11)</f>
        <v>12.1381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1.2509999999999999</v>
      </c>
      <c r="Q481" s="9">
        <v>19.299600000000002</v>
      </c>
      <c r="R481" s="9"/>
      <c r="S481" s="11"/>
    </row>
    <row r="482" spans="1:19" ht="15.75">
      <c r="A482" s="13">
        <v>55823</v>
      </c>
      <c r="B482" s="8">
        <f>CHOOSE( CONTROL!$C$33, 13.0715, 13.0704) * CHOOSE(CONTROL!$C$16, $D$11, 100%, $F$11)</f>
        <v>13.0715</v>
      </c>
      <c r="C482" s="8">
        <f>CHOOSE( CONTROL!$C$33, 13.0768, 13.0757) * CHOOSE(CONTROL!$C$16, $D$11, 100%, $F$11)</f>
        <v>13.0768</v>
      </c>
      <c r="D482" s="8">
        <f>CHOOSE( CONTROL!$C$33, 13.1012, 13.1001) * CHOOSE( CONTROL!$C$16, $D$11, 100%, $F$11)</f>
        <v>13.1012</v>
      </c>
      <c r="E482" s="12">
        <f>CHOOSE( CONTROL!$C$33, 13.0926, 13.0915) * CHOOSE( CONTROL!$C$16, $D$11, 100%, $F$11)</f>
        <v>13.092599999999999</v>
      </c>
      <c r="F482" s="4">
        <f>CHOOSE( CONTROL!$C$33, 13.8007, 13.7997) * CHOOSE(CONTROL!$C$16, $D$11, 100%, $F$11)</f>
        <v>13.800700000000001</v>
      </c>
      <c r="G482" s="8">
        <f>CHOOSE( CONTROL!$C$33, 12.9493, 12.9483) * CHOOSE( CONTROL!$C$16, $D$11, 100%, $F$11)</f>
        <v>12.949299999999999</v>
      </c>
      <c r="H482" s="4">
        <f>CHOOSE( CONTROL!$C$33, 13.8858, 13.8847) * CHOOSE(CONTROL!$C$16, $D$11, 100%, $F$11)</f>
        <v>13.8858</v>
      </c>
      <c r="I482" s="8">
        <f>CHOOSE( CONTROL!$C$33, 12.8094, 12.8083) * CHOOSE(CONTROL!$C$16, $D$11, 100%, $F$11)</f>
        <v>12.8094</v>
      </c>
      <c r="J482" s="4">
        <f>CHOOSE( CONTROL!$C$33, 12.6767, 12.6757) * CHOOSE(CONTROL!$C$16, $D$11, 100%, $F$11)</f>
        <v>12.6767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1.2927</v>
      </c>
      <c r="Q482" s="9">
        <v>19.942900000000002</v>
      </c>
      <c r="R482" s="9"/>
      <c r="S482" s="11"/>
    </row>
    <row r="483" spans="1:19" ht="15.75">
      <c r="A483" s="13">
        <v>55853</v>
      </c>
      <c r="B483" s="8">
        <f>CHOOSE( CONTROL!$C$33, 14.0965, 14.0954) * CHOOSE(CONTROL!$C$16, $D$11, 100%, $F$11)</f>
        <v>14.096500000000001</v>
      </c>
      <c r="C483" s="8">
        <f>CHOOSE( CONTROL!$C$33, 14.1015, 14.1005) * CHOOSE(CONTROL!$C$16, $D$11, 100%, $F$11)</f>
        <v>14.1015</v>
      </c>
      <c r="D483" s="8">
        <f>CHOOSE( CONTROL!$C$33, 14.0919, 14.0909) * CHOOSE( CONTROL!$C$16, $D$11, 100%, $F$11)</f>
        <v>14.091900000000001</v>
      </c>
      <c r="E483" s="12">
        <f>CHOOSE( CONTROL!$C$33, 14.0949, 14.0939) * CHOOSE( CONTROL!$C$16, $D$11, 100%, $F$11)</f>
        <v>14.094900000000001</v>
      </c>
      <c r="F483" s="4">
        <f>CHOOSE( CONTROL!$C$33, 14.7566, 14.7555) * CHOOSE(CONTROL!$C$16, $D$11, 100%, $F$11)</f>
        <v>14.756600000000001</v>
      </c>
      <c r="G483" s="8">
        <f>CHOOSE( CONTROL!$C$33, 13.9493, 13.9482) * CHOOSE( CONTROL!$C$16, $D$11, 100%, $F$11)</f>
        <v>13.949299999999999</v>
      </c>
      <c r="H483" s="4">
        <f>CHOOSE( CONTROL!$C$33, 14.8304, 14.8294) * CHOOSE(CONTROL!$C$16, $D$11, 100%, $F$11)</f>
        <v>14.830399999999999</v>
      </c>
      <c r="I483" s="8">
        <f>CHOOSE( CONTROL!$C$33, 13.8644, 13.8633) * CHOOSE(CONTROL!$C$16, $D$11, 100%, $F$11)</f>
        <v>13.8644</v>
      </c>
      <c r="J483" s="4">
        <f>CHOOSE( CONTROL!$C$33, 13.6719, 13.6708) * CHOOSE(CONTROL!$C$16, $D$11, 100%, $F$11)</f>
        <v>13.671900000000001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19.299600000000002</v>
      </c>
      <c r="R483" s="9"/>
      <c r="S483" s="11"/>
    </row>
    <row r="484" spans="1:19" ht="15.75">
      <c r="A484" s="13">
        <v>55884</v>
      </c>
      <c r="B484" s="8">
        <f>CHOOSE( CONTROL!$C$33, 14.0709, 14.0698) * CHOOSE(CONTROL!$C$16, $D$11, 100%, $F$11)</f>
        <v>14.0709</v>
      </c>
      <c r="C484" s="8">
        <f>CHOOSE( CONTROL!$C$33, 14.0759, 14.0748) * CHOOSE(CONTROL!$C$16, $D$11, 100%, $F$11)</f>
        <v>14.075900000000001</v>
      </c>
      <c r="D484" s="8">
        <f>CHOOSE( CONTROL!$C$33, 14.0677, 14.0667) * CHOOSE( CONTROL!$C$16, $D$11, 100%, $F$11)</f>
        <v>14.0677</v>
      </c>
      <c r="E484" s="12">
        <f>CHOOSE( CONTROL!$C$33, 14.0702, 14.0691) * CHOOSE( CONTROL!$C$16, $D$11, 100%, $F$11)</f>
        <v>14.0702</v>
      </c>
      <c r="F484" s="4">
        <f>CHOOSE( CONTROL!$C$33, 14.731, 14.7299) * CHOOSE(CONTROL!$C$16, $D$11, 100%, $F$11)</f>
        <v>14.731</v>
      </c>
      <c r="G484" s="8">
        <f>CHOOSE( CONTROL!$C$33, 13.925, 13.9239) * CHOOSE( CONTROL!$C$16, $D$11, 100%, $F$11)</f>
        <v>13.925000000000001</v>
      </c>
      <c r="H484" s="4">
        <f>CHOOSE( CONTROL!$C$33, 14.8051, 14.804) * CHOOSE(CONTROL!$C$16, $D$11, 100%, $F$11)</f>
        <v>14.805099999999999</v>
      </c>
      <c r="I484" s="8">
        <f>CHOOSE( CONTROL!$C$33, 13.844, 13.8429) * CHOOSE(CONTROL!$C$16, $D$11, 100%, $F$11)</f>
        <v>13.843999999999999</v>
      </c>
      <c r="J484" s="4">
        <f>CHOOSE( CONTROL!$C$33, 13.647, 13.646) * CHOOSE(CONTROL!$C$16, $D$11, 100%, $F$11)</f>
        <v>13.647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19.942900000000002</v>
      </c>
      <c r="R484" s="9"/>
      <c r="S484" s="11"/>
    </row>
    <row r="485" spans="1:19" ht="15.75">
      <c r="A485" s="13">
        <v>55915</v>
      </c>
      <c r="B485" s="8">
        <f>CHOOSE( CONTROL!$C$33, 14.4856, 14.4845) * CHOOSE(CONTROL!$C$16, $D$11, 100%, $F$11)</f>
        <v>14.4856</v>
      </c>
      <c r="C485" s="8">
        <f>CHOOSE( CONTROL!$C$33, 14.4907, 14.4896) * CHOOSE(CONTROL!$C$16, $D$11, 100%, $F$11)</f>
        <v>14.4907</v>
      </c>
      <c r="D485" s="8">
        <f>CHOOSE( CONTROL!$C$33, 14.4933, 14.4922) * CHOOSE( CONTROL!$C$16, $D$11, 100%, $F$11)</f>
        <v>14.4933</v>
      </c>
      <c r="E485" s="12">
        <f>CHOOSE( CONTROL!$C$33, 14.4918, 14.4907) * CHOOSE( CONTROL!$C$16, $D$11, 100%, $F$11)</f>
        <v>14.4918</v>
      </c>
      <c r="F485" s="4">
        <f>CHOOSE( CONTROL!$C$33, 15.1457, 15.1446) * CHOOSE(CONTROL!$C$16, $D$11, 100%, $F$11)</f>
        <v>15.1457</v>
      </c>
      <c r="G485" s="8">
        <f>CHOOSE( CONTROL!$C$33, 14.3377, 14.3367) * CHOOSE( CONTROL!$C$16, $D$11, 100%, $F$11)</f>
        <v>14.3377</v>
      </c>
      <c r="H485" s="4">
        <f>CHOOSE( CONTROL!$C$33, 15.215, 15.2139) * CHOOSE(CONTROL!$C$16, $D$11, 100%, $F$11)</f>
        <v>15.215</v>
      </c>
      <c r="I485" s="8">
        <f>CHOOSE( CONTROL!$C$33, 14.2181, 14.2171) * CHOOSE(CONTROL!$C$16, $D$11, 100%, $F$11)</f>
        <v>14.2181</v>
      </c>
      <c r="J485" s="4">
        <f>CHOOSE( CONTROL!$C$33, 14.0495, 14.0485) * CHOOSE(CONTROL!$C$16, $D$11, 100%, $F$11)</f>
        <v>14.0495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19.877800000000001</v>
      </c>
      <c r="R485" s="9"/>
      <c r="S485" s="11"/>
    </row>
    <row r="486" spans="1:19" ht="15.75">
      <c r="A486" s="13">
        <v>55943</v>
      </c>
      <c r="B486" s="8">
        <f>CHOOSE( CONTROL!$C$33, 13.5498, 13.5487) * CHOOSE(CONTROL!$C$16, $D$11, 100%, $F$11)</f>
        <v>13.549799999999999</v>
      </c>
      <c r="C486" s="8">
        <f>CHOOSE( CONTROL!$C$33, 13.5549, 13.5538) * CHOOSE(CONTROL!$C$16, $D$11, 100%, $F$11)</f>
        <v>13.5549</v>
      </c>
      <c r="D486" s="8">
        <f>CHOOSE( CONTROL!$C$33, 13.5574, 13.5563) * CHOOSE( CONTROL!$C$16, $D$11, 100%, $F$11)</f>
        <v>13.557399999999999</v>
      </c>
      <c r="E486" s="12">
        <f>CHOOSE( CONTROL!$C$33, 13.5559, 13.5548) * CHOOSE( CONTROL!$C$16, $D$11, 100%, $F$11)</f>
        <v>13.555899999999999</v>
      </c>
      <c r="F486" s="4">
        <f>CHOOSE( CONTROL!$C$33, 14.2099, 14.2088) * CHOOSE(CONTROL!$C$16, $D$11, 100%, $F$11)</f>
        <v>14.209899999999999</v>
      </c>
      <c r="G486" s="8">
        <f>CHOOSE( CONTROL!$C$33, 13.4128, 13.4117) * CHOOSE( CONTROL!$C$16, $D$11, 100%, $F$11)</f>
        <v>13.412800000000001</v>
      </c>
      <c r="H486" s="4">
        <f>CHOOSE( CONTROL!$C$33, 14.2901, 14.2891) * CHOOSE(CONTROL!$C$16, $D$11, 100%, $F$11)</f>
        <v>14.290100000000001</v>
      </c>
      <c r="I486" s="8">
        <f>CHOOSE( CONTROL!$C$33, 13.3092, 13.3082) * CHOOSE(CONTROL!$C$16, $D$11, 100%, $F$11)</f>
        <v>13.309200000000001</v>
      </c>
      <c r="J486" s="4">
        <f>CHOOSE( CONTROL!$C$33, 13.1413, 13.1403) * CHOOSE(CONTROL!$C$16, $D$11, 100%, $F$11)</f>
        <v>13.141299999999999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17.9542</v>
      </c>
      <c r="R486" s="9"/>
      <c r="S486" s="11"/>
    </row>
    <row r="487" spans="1:19" ht="15.75">
      <c r="A487" s="13">
        <v>55974</v>
      </c>
      <c r="B487" s="8">
        <f>CHOOSE( CONTROL!$C$33, 13.2616, 13.2605) * CHOOSE(CONTROL!$C$16, $D$11, 100%, $F$11)</f>
        <v>13.2616</v>
      </c>
      <c r="C487" s="8">
        <f>CHOOSE( CONTROL!$C$33, 13.2666, 13.2655) * CHOOSE(CONTROL!$C$16, $D$11, 100%, $F$11)</f>
        <v>13.2666</v>
      </c>
      <c r="D487" s="8">
        <f>CHOOSE( CONTROL!$C$33, 13.2685, 13.2674) * CHOOSE( CONTROL!$C$16, $D$11, 100%, $F$11)</f>
        <v>13.2685</v>
      </c>
      <c r="E487" s="12">
        <f>CHOOSE( CONTROL!$C$33, 13.2673, 13.2662) * CHOOSE( CONTROL!$C$16, $D$11, 100%, $F$11)</f>
        <v>13.267300000000001</v>
      </c>
      <c r="F487" s="4">
        <f>CHOOSE( CONTROL!$C$33, 13.9217, 13.9206) * CHOOSE(CONTROL!$C$16, $D$11, 100%, $F$11)</f>
        <v>13.9217</v>
      </c>
      <c r="G487" s="8">
        <f>CHOOSE( CONTROL!$C$33, 13.1275, 13.1264) * CHOOSE( CONTROL!$C$16, $D$11, 100%, $F$11)</f>
        <v>13.1275</v>
      </c>
      <c r="H487" s="4">
        <f>CHOOSE( CONTROL!$C$33, 14.0053, 14.0042) * CHOOSE(CONTROL!$C$16, $D$11, 100%, $F$11)</f>
        <v>14.0053</v>
      </c>
      <c r="I487" s="8">
        <f>CHOOSE( CONTROL!$C$33, 13.0272, 13.0262) * CHOOSE(CONTROL!$C$16, $D$11, 100%, $F$11)</f>
        <v>13.027200000000001</v>
      </c>
      <c r="J487" s="4">
        <f>CHOOSE( CONTROL!$C$33, 12.8616, 12.8605) * CHOOSE(CONTROL!$C$16, $D$11, 100%, $F$11)</f>
        <v>12.861599999999999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19.877800000000001</v>
      </c>
      <c r="R487" s="9"/>
      <c r="S487" s="11"/>
    </row>
    <row r="488" spans="1:19" ht="15.75">
      <c r="A488" s="13">
        <v>56004</v>
      </c>
      <c r="B488" s="8">
        <f>CHOOSE( CONTROL!$C$33, 13.4637, 13.4626) * CHOOSE(CONTROL!$C$16, $D$11, 100%, $F$11)</f>
        <v>13.463699999999999</v>
      </c>
      <c r="C488" s="8">
        <f>CHOOSE( CONTROL!$C$33, 13.4682, 13.4672) * CHOOSE(CONTROL!$C$16, $D$11, 100%, $F$11)</f>
        <v>13.4682</v>
      </c>
      <c r="D488" s="8">
        <f>CHOOSE( CONTROL!$C$33, 13.4926, 13.4915) * CHOOSE( CONTROL!$C$16, $D$11, 100%, $F$11)</f>
        <v>13.492599999999999</v>
      </c>
      <c r="E488" s="12">
        <f>CHOOSE( CONTROL!$C$33, 13.484, 13.4829) * CHOOSE( CONTROL!$C$16, $D$11, 100%, $F$11)</f>
        <v>13.484</v>
      </c>
      <c r="F488" s="4">
        <f>CHOOSE( CONTROL!$C$33, 14.1926, 14.1916) * CHOOSE(CONTROL!$C$16, $D$11, 100%, $F$11)</f>
        <v>14.192600000000001</v>
      </c>
      <c r="G488" s="8">
        <f>CHOOSE( CONTROL!$C$33, 13.3362, 13.3352) * CHOOSE( CONTROL!$C$16, $D$11, 100%, $F$11)</f>
        <v>13.3362</v>
      </c>
      <c r="H488" s="4">
        <f>CHOOSE( CONTROL!$C$33, 14.2731, 14.272) * CHOOSE(CONTROL!$C$16, $D$11, 100%, $F$11)</f>
        <v>14.273099999999999</v>
      </c>
      <c r="I488" s="8">
        <f>CHOOSE( CONTROL!$C$33, 13.188, 13.187) * CHOOSE(CONTROL!$C$16, $D$11, 100%, $F$11)</f>
        <v>13.188000000000001</v>
      </c>
      <c r="J488" s="4">
        <f>CHOOSE( CONTROL!$C$33, 13.0571, 13.056) * CHOOSE(CONTROL!$C$16, $D$11, 100%, $F$11)</f>
        <v>13.0571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1.2509999999999999</v>
      </c>
      <c r="Q488" s="9">
        <v>19.236599999999999</v>
      </c>
      <c r="R488" s="9"/>
      <c r="S488" s="11"/>
    </row>
    <row r="489" spans="1:19" ht="15.75">
      <c r="A489" s="13">
        <v>56035</v>
      </c>
      <c r="B489" s="8">
        <f>CHOOSE( CONTROL!$C$33, 13.8241, 13.8225) * CHOOSE(CONTROL!$C$16, $D$11, 100%, $F$11)</f>
        <v>13.8241</v>
      </c>
      <c r="C489" s="8">
        <f>CHOOSE( CONTROL!$C$33, 13.8321, 13.8304) * CHOOSE(CONTROL!$C$16, $D$11, 100%, $F$11)</f>
        <v>13.832100000000001</v>
      </c>
      <c r="D489" s="8">
        <f>CHOOSE( CONTROL!$C$33, 13.8504, 13.8487) * CHOOSE( CONTROL!$C$16, $D$11, 100%, $F$11)</f>
        <v>13.8504</v>
      </c>
      <c r="E489" s="12">
        <f>CHOOSE( CONTROL!$C$33, 13.8425, 13.8409) * CHOOSE( CONTROL!$C$16, $D$11, 100%, $F$11)</f>
        <v>13.842499999999999</v>
      </c>
      <c r="F489" s="4">
        <f>CHOOSE( CONTROL!$C$33, 14.5517, 14.55) * CHOOSE(CONTROL!$C$16, $D$11, 100%, $F$11)</f>
        <v>14.5517</v>
      </c>
      <c r="G489" s="8">
        <f>CHOOSE( CONTROL!$C$33, 13.6909, 13.6893) * CHOOSE( CONTROL!$C$16, $D$11, 100%, $F$11)</f>
        <v>13.690899999999999</v>
      </c>
      <c r="H489" s="4">
        <f>CHOOSE( CONTROL!$C$33, 14.6279, 14.6263) * CHOOSE(CONTROL!$C$16, $D$11, 100%, $F$11)</f>
        <v>14.6279</v>
      </c>
      <c r="I489" s="8">
        <f>CHOOSE( CONTROL!$C$33, 13.536, 13.5344) * CHOOSE(CONTROL!$C$16, $D$11, 100%, $F$11)</f>
        <v>13.536</v>
      </c>
      <c r="J489" s="4">
        <f>CHOOSE( CONTROL!$C$33, 13.4055, 13.4039) * CHOOSE(CONTROL!$C$16, $D$11, 100%, $F$11)</f>
        <v>13.4055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1.2927</v>
      </c>
      <c r="Q489" s="9">
        <v>19.877800000000001</v>
      </c>
      <c r="R489" s="9"/>
      <c r="S489" s="11"/>
    </row>
    <row r="490" spans="1:19" ht="15.75">
      <c r="A490" s="13">
        <v>56065</v>
      </c>
      <c r="B490" s="8">
        <f>CHOOSE( CONTROL!$C$33, 13.6021, 13.6004) * CHOOSE(CONTROL!$C$16, $D$11, 100%, $F$11)</f>
        <v>13.6021</v>
      </c>
      <c r="C490" s="8">
        <f>CHOOSE( CONTROL!$C$33, 13.61, 13.6084) * CHOOSE(CONTROL!$C$16, $D$11, 100%, $F$11)</f>
        <v>13.61</v>
      </c>
      <c r="D490" s="8">
        <f>CHOOSE( CONTROL!$C$33, 13.6286, 13.6269) * CHOOSE( CONTROL!$C$16, $D$11, 100%, $F$11)</f>
        <v>13.6286</v>
      </c>
      <c r="E490" s="12">
        <f>CHOOSE( CONTROL!$C$33, 13.6207, 13.619) * CHOOSE( CONTROL!$C$16, $D$11, 100%, $F$11)</f>
        <v>13.620699999999999</v>
      </c>
      <c r="F490" s="4">
        <f>CHOOSE( CONTROL!$C$33, 14.3296, 14.328) * CHOOSE(CONTROL!$C$16, $D$11, 100%, $F$11)</f>
        <v>14.329599999999999</v>
      </c>
      <c r="G490" s="8">
        <f>CHOOSE( CONTROL!$C$33, 13.4717, 13.47) * CHOOSE( CONTROL!$C$16, $D$11, 100%, $F$11)</f>
        <v>13.4717</v>
      </c>
      <c r="H490" s="4">
        <f>CHOOSE( CONTROL!$C$33, 14.4085, 14.4068) * CHOOSE(CONTROL!$C$16, $D$11, 100%, $F$11)</f>
        <v>14.4085</v>
      </c>
      <c r="I490" s="8">
        <f>CHOOSE( CONTROL!$C$33, 13.3213, 13.3197) * CHOOSE(CONTROL!$C$16, $D$11, 100%, $F$11)</f>
        <v>13.321300000000001</v>
      </c>
      <c r="J490" s="4">
        <f>CHOOSE( CONTROL!$C$33, 13.19, 13.1884) * CHOOSE(CONTROL!$C$16, $D$11, 100%, $F$11)</f>
        <v>13.19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1.2509999999999999</v>
      </c>
      <c r="Q490" s="9">
        <v>19.236599999999999</v>
      </c>
      <c r="R490" s="9"/>
      <c r="S490" s="11"/>
    </row>
    <row r="491" spans="1:19" ht="15.75">
      <c r="A491" s="13">
        <v>56096</v>
      </c>
      <c r="B491" s="8">
        <f>CHOOSE( CONTROL!$C$33, 14.1868, 14.1852) * CHOOSE(CONTROL!$C$16, $D$11, 100%, $F$11)</f>
        <v>14.1868</v>
      </c>
      <c r="C491" s="8">
        <f>CHOOSE( CONTROL!$C$33, 14.1948, 14.1931) * CHOOSE(CONTROL!$C$16, $D$11, 100%, $F$11)</f>
        <v>14.194800000000001</v>
      </c>
      <c r="D491" s="8">
        <f>CHOOSE( CONTROL!$C$33, 14.2136, 14.2119) * CHOOSE( CONTROL!$C$16, $D$11, 100%, $F$11)</f>
        <v>14.2136</v>
      </c>
      <c r="E491" s="12">
        <f>CHOOSE( CONTROL!$C$33, 14.2056, 14.2039) * CHOOSE( CONTROL!$C$16, $D$11, 100%, $F$11)</f>
        <v>14.2056</v>
      </c>
      <c r="F491" s="4">
        <f>CHOOSE( CONTROL!$C$33, 14.9144, 14.9127) * CHOOSE(CONTROL!$C$16, $D$11, 100%, $F$11)</f>
        <v>14.914400000000001</v>
      </c>
      <c r="G491" s="8">
        <f>CHOOSE( CONTROL!$C$33, 14.0498, 14.0481) * CHOOSE( CONTROL!$C$16, $D$11, 100%, $F$11)</f>
        <v>14.049799999999999</v>
      </c>
      <c r="H491" s="4">
        <f>CHOOSE( CONTROL!$C$33, 14.9864, 14.9847) * CHOOSE(CONTROL!$C$16, $D$11, 100%, $F$11)</f>
        <v>14.9864</v>
      </c>
      <c r="I491" s="8">
        <f>CHOOSE( CONTROL!$C$33, 13.8899, 13.8883) * CHOOSE(CONTROL!$C$16, $D$11, 100%, $F$11)</f>
        <v>13.889900000000001</v>
      </c>
      <c r="J491" s="4">
        <f>CHOOSE( CONTROL!$C$33, 13.7575, 13.7559) * CHOOSE(CONTROL!$C$16, $D$11, 100%, $F$11)</f>
        <v>13.7575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1.2927</v>
      </c>
      <c r="Q491" s="9">
        <v>19.877800000000001</v>
      </c>
      <c r="R491" s="9"/>
      <c r="S491" s="11"/>
    </row>
    <row r="492" spans="1:19" ht="15.75">
      <c r="A492" s="13">
        <v>56127</v>
      </c>
      <c r="B492" s="8">
        <f>CHOOSE( CONTROL!$C$33, 13.0927, 13.091) * CHOOSE(CONTROL!$C$16, $D$11, 100%, $F$11)</f>
        <v>13.092700000000001</v>
      </c>
      <c r="C492" s="8">
        <f>CHOOSE( CONTROL!$C$33, 13.1007, 13.099) * CHOOSE(CONTROL!$C$16, $D$11, 100%, $F$11)</f>
        <v>13.1007</v>
      </c>
      <c r="D492" s="8">
        <f>CHOOSE( CONTROL!$C$33, 13.1195, 13.1179) * CHOOSE( CONTROL!$C$16, $D$11, 100%, $F$11)</f>
        <v>13.1195</v>
      </c>
      <c r="E492" s="12">
        <f>CHOOSE( CONTROL!$C$33, 13.1115, 13.1098) * CHOOSE( CONTROL!$C$16, $D$11, 100%, $F$11)</f>
        <v>13.111499999999999</v>
      </c>
      <c r="F492" s="4">
        <f>CHOOSE( CONTROL!$C$33, 13.8202, 13.8186) * CHOOSE(CONTROL!$C$16, $D$11, 100%, $F$11)</f>
        <v>13.8202</v>
      </c>
      <c r="G492" s="8">
        <f>CHOOSE( CONTROL!$C$33, 12.9685, 12.9669) * CHOOSE( CONTROL!$C$16, $D$11, 100%, $F$11)</f>
        <v>12.968500000000001</v>
      </c>
      <c r="H492" s="4">
        <f>CHOOSE( CONTROL!$C$33, 13.905, 13.9034) * CHOOSE(CONTROL!$C$16, $D$11, 100%, $F$11)</f>
        <v>13.904999999999999</v>
      </c>
      <c r="I492" s="8">
        <f>CHOOSE( CONTROL!$C$33, 12.8278, 12.8262) * CHOOSE(CONTROL!$C$16, $D$11, 100%, $F$11)</f>
        <v>12.8278</v>
      </c>
      <c r="J492" s="4">
        <f>CHOOSE( CONTROL!$C$33, 12.6956, 12.694) * CHOOSE(CONTROL!$C$16, $D$11, 100%, $F$11)</f>
        <v>12.695600000000001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1.2927</v>
      </c>
      <c r="Q492" s="9">
        <v>19.877800000000001</v>
      </c>
      <c r="R492" s="9"/>
      <c r="S492" s="11"/>
    </row>
    <row r="493" spans="1:19" ht="15.75">
      <c r="A493" s="13">
        <v>56157</v>
      </c>
      <c r="B493" s="8">
        <f>CHOOSE( CONTROL!$C$33, 12.8187, 12.8171) * CHOOSE(CONTROL!$C$16, $D$11, 100%, $F$11)</f>
        <v>12.8187</v>
      </c>
      <c r="C493" s="8">
        <f>CHOOSE( CONTROL!$C$33, 12.8267, 12.825) * CHOOSE(CONTROL!$C$16, $D$11, 100%, $F$11)</f>
        <v>12.826700000000001</v>
      </c>
      <c r="D493" s="8">
        <f>CHOOSE( CONTROL!$C$33, 12.8454, 12.8438) * CHOOSE( CONTROL!$C$16, $D$11, 100%, $F$11)</f>
        <v>12.8454</v>
      </c>
      <c r="E493" s="12">
        <f>CHOOSE( CONTROL!$C$33, 12.8374, 12.8358) * CHOOSE( CONTROL!$C$16, $D$11, 100%, $F$11)</f>
        <v>12.837400000000001</v>
      </c>
      <c r="F493" s="4">
        <f>CHOOSE( CONTROL!$C$33, 13.5463, 13.5446) * CHOOSE(CONTROL!$C$16, $D$11, 100%, $F$11)</f>
        <v>13.5463</v>
      </c>
      <c r="G493" s="8">
        <f>CHOOSE( CONTROL!$C$33, 12.6977, 12.696) * CHOOSE( CONTROL!$C$16, $D$11, 100%, $F$11)</f>
        <v>12.697699999999999</v>
      </c>
      <c r="H493" s="4">
        <f>CHOOSE( CONTROL!$C$33, 13.6343, 13.6326) * CHOOSE(CONTROL!$C$16, $D$11, 100%, $F$11)</f>
        <v>13.6343</v>
      </c>
      <c r="I493" s="8">
        <f>CHOOSE( CONTROL!$C$33, 12.5614, 12.5598) * CHOOSE(CONTROL!$C$16, $D$11, 100%, $F$11)</f>
        <v>12.561400000000001</v>
      </c>
      <c r="J493" s="4">
        <f>CHOOSE( CONTROL!$C$33, 12.4297, 12.4281) * CHOOSE(CONTROL!$C$16, $D$11, 100%, $F$11)</f>
        <v>12.4297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1.2509999999999999</v>
      </c>
      <c r="Q493" s="9">
        <v>19.236599999999999</v>
      </c>
      <c r="R493" s="9"/>
      <c r="S493" s="11"/>
    </row>
    <row r="494" spans="1:19" ht="15.75">
      <c r="A494" s="13">
        <v>56188</v>
      </c>
      <c r="B494" s="8">
        <f>CHOOSE( CONTROL!$C$33, 13.3853, 13.3842) * CHOOSE(CONTROL!$C$16, $D$11, 100%, $F$11)</f>
        <v>13.385300000000001</v>
      </c>
      <c r="C494" s="8">
        <f>CHOOSE( CONTROL!$C$33, 13.3906, 13.3895) * CHOOSE(CONTROL!$C$16, $D$11, 100%, $F$11)</f>
        <v>13.390599999999999</v>
      </c>
      <c r="D494" s="8">
        <f>CHOOSE( CONTROL!$C$33, 13.415, 13.414) * CHOOSE( CONTROL!$C$16, $D$11, 100%, $F$11)</f>
        <v>13.414999999999999</v>
      </c>
      <c r="E494" s="12">
        <f>CHOOSE( CONTROL!$C$33, 13.4064, 13.4053) * CHOOSE( CONTROL!$C$16, $D$11, 100%, $F$11)</f>
        <v>13.4064</v>
      </c>
      <c r="F494" s="4">
        <f>CHOOSE( CONTROL!$C$33, 14.1146, 14.1135) * CHOOSE(CONTROL!$C$16, $D$11, 100%, $F$11)</f>
        <v>14.114599999999999</v>
      </c>
      <c r="G494" s="8">
        <f>CHOOSE( CONTROL!$C$33, 13.2595, 13.2584) * CHOOSE( CONTROL!$C$16, $D$11, 100%, $F$11)</f>
        <v>13.259499999999999</v>
      </c>
      <c r="H494" s="4">
        <f>CHOOSE( CONTROL!$C$33, 14.1959, 14.1948) * CHOOSE(CONTROL!$C$16, $D$11, 100%, $F$11)</f>
        <v>14.1959</v>
      </c>
      <c r="I494" s="8">
        <f>CHOOSE( CONTROL!$C$33, 13.1141, 13.1131) * CHOOSE(CONTROL!$C$16, $D$11, 100%, $F$11)</f>
        <v>13.114100000000001</v>
      </c>
      <c r="J494" s="4">
        <f>CHOOSE( CONTROL!$C$33, 12.9813, 12.9802) * CHOOSE(CONTROL!$C$16, $D$11, 100%, $F$11)</f>
        <v>12.981299999999999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1.2927</v>
      </c>
      <c r="Q494" s="9">
        <v>19.877800000000001</v>
      </c>
      <c r="R494" s="9"/>
      <c r="S494" s="11"/>
    </row>
    <row r="495" spans="1:19" ht="15.75">
      <c r="A495" s="13">
        <v>56218</v>
      </c>
      <c r="B495" s="8">
        <f>CHOOSE( CONTROL!$C$33, 14.4349, 14.4338) * CHOOSE(CONTROL!$C$16, $D$11, 100%, $F$11)</f>
        <v>14.434900000000001</v>
      </c>
      <c r="C495" s="8">
        <f>CHOOSE( CONTROL!$C$33, 14.44, 14.4389) * CHOOSE(CONTROL!$C$16, $D$11, 100%, $F$11)</f>
        <v>14.44</v>
      </c>
      <c r="D495" s="8">
        <f>CHOOSE( CONTROL!$C$33, 14.4304, 14.4293) * CHOOSE( CONTROL!$C$16, $D$11, 100%, $F$11)</f>
        <v>14.430400000000001</v>
      </c>
      <c r="E495" s="12">
        <f>CHOOSE( CONTROL!$C$33, 14.4334, 14.4323) * CHOOSE( CONTROL!$C$16, $D$11, 100%, $F$11)</f>
        <v>14.433400000000001</v>
      </c>
      <c r="F495" s="4">
        <f>CHOOSE( CONTROL!$C$33, 15.0951, 15.094) * CHOOSE(CONTROL!$C$16, $D$11, 100%, $F$11)</f>
        <v>15.0951</v>
      </c>
      <c r="G495" s="8">
        <f>CHOOSE( CONTROL!$C$33, 14.2838, 14.2827) * CHOOSE( CONTROL!$C$16, $D$11, 100%, $F$11)</f>
        <v>14.283799999999999</v>
      </c>
      <c r="H495" s="4">
        <f>CHOOSE( CONTROL!$C$33, 15.1649, 15.1639) * CHOOSE(CONTROL!$C$16, $D$11, 100%, $F$11)</f>
        <v>15.164899999999999</v>
      </c>
      <c r="I495" s="8">
        <f>CHOOSE( CONTROL!$C$33, 14.193, 14.192) * CHOOSE(CONTROL!$C$16, $D$11, 100%, $F$11)</f>
        <v>14.193</v>
      </c>
      <c r="J495" s="4">
        <f>CHOOSE( CONTROL!$C$33, 14.0003, 13.9993) * CHOOSE(CONTROL!$C$16, $D$11, 100%, $F$11)</f>
        <v>14.000299999999999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19.236599999999999</v>
      </c>
      <c r="R495" s="9"/>
      <c r="S495" s="11"/>
    </row>
    <row r="496" spans="1:19" ht="15.75">
      <c r="A496" s="13">
        <v>56249</v>
      </c>
      <c r="B496" s="8">
        <f>CHOOSE( CONTROL!$C$33, 14.4087, 14.4076) * CHOOSE(CONTROL!$C$16, $D$11, 100%, $F$11)</f>
        <v>14.4087</v>
      </c>
      <c r="C496" s="8">
        <f>CHOOSE( CONTROL!$C$33, 14.4138, 14.4127) * CHOOSE(CONTROL!$C$16, $D$11, 100%, $F$11)</f>
        <v>14.4138</v>
      </c>
      <c r="D496" s="8">
        <f>CHOOSE( CONTROL!$C$33, 14.4056, 14.4045) * CHOOSE( CONTROL!$C$16, $D$11, 100%, $F$11)</f>
        <v>14.4056</v>
      </c>
      <c r="E496" s="12">
        <f>CHOOSE( CONTROL!$C$33, 14.4081, 14.407) * CHOOSE( CONTROL!$C$16, $D$11, 100%, $F$11)</f>
        <v>14.408099999999999</v>
      </c>
      <c r="F496" s="4">
        <f>CHOOSE( CONTROL!$C$33, 15.0688, 15.0677) * CHOOSE(CONTROL!$C$16, $D$11, 100%, $F$11)</f>
        <v>15.0688</v>
      </c>
      <c r="G496" s="8">
        <f>CHOOSE( CONTROL!$C$33, 14.2589, 14.2578) * CHOOSE( CONTROL!$C$16, $D$11, 100%, $F$11)</f>
        <v>14.258900000000001</v>
      </c>
      <c r="H496" s="4">
        <f>CHOOSE( CONTROL!$C$33, 15.139, 15.1379) * CHOOSE(CONTROL!$C$16, $D$11, 100%, $F$11)</f>
        <v>15.138999999999999</v>
      </c>
      <c r="I496" s="8">
        <f>CHOOSE( CONTROL!$C$33, 14.172, 14.1709) * CHOOSE(CONTROL!$C$16, $D$11, 100%, $F$11)</f>
        <v>14.172000000000001</v>
      </c>
      <c r="J496" s="4">
        <f>CHOOSE( CONTROL!$C$33, 13.9749, 13.9738) * CHOOSE(CONTROL!$C$16, $D$11, 100%, $F$11)</f>
        <v>13.9749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19.877800000000001</v>
      </c>
      <c r="R496" s="9"/>
      <c r="S496" s="11"/>
    </row>
    <row r="497" spans="1:19" ht="15.75">
      <c r="A497" s="13">
        <v>56280</v>
      </c>
      <c r="B497" s="8">
        <f>CHOOSE( CONTROL!$C$33, 14.8334, 14.8323) * CHOOSE(CONTROL!$C$16, $D$11, 100%, $F$11)</f>
        <v>14.833399999999999</v>
      </c>
      <c r="C497" s="8">
        <f>CHOOSE( CONTROL!$C$33, 14.8385, 14.8374) * CHOOSE(CONTROL!$C$16, $D$11, 100%, $F$11)</f>
        <v>14.8385</v>
      </c>
      <c r="D497" s="8">
        <f>CHOOSE( CONTROL!$C$33, 14.8411, 14.84) * CHOOSE( CONTROL!$C$16, $D$11, 100%, $F$11)</f>
        <v>14.841100000000001</v>
      </c>
      <c r="E497" s="12">
        <f>CHOOSE( CONTROL!$C$33, 14.8396, 14.8385) * CHOOSE( CONTROL!$C$16, $D$11, 100%, $F$11)</f>
        <v>14.839600000000001</v>
      </c>
      <c r="F497" s="4">
        <f>CHOOSE( CONTROL!$C$33, 15.4935, 15.4925) * CHOOSE(CONTROL!$C$16, $D$11, 100%, $F$11)</f>
        <v>15.493499999999999</v>
      </c>
      <c r="G497" s="8">
        <f>CHOOSE( CONTROL!$C$33, 14.6815, 14.6804) * CHOOSE( CONTROL!$C$16, $D$11, 100%, $F$11)</f>
        <v>14.6815</v>
      </c>
      <c r="H497" s="4">
        <f>CHOOSE( CONTROL!$C$33, 15.5587, 15.5577) * CHOOSE(CONTROL!$C$16, $D$11, 100%, $F$11)</f>
        <v>15.5587</v>
      </c>
      <c r="I497" s="8">
        <f>CHOOSE( CONTROL!$C$33, 14.5559, 14.5548) * CHOOSE(CONTROL!$C$16, $D$11, 100%, $F$11)</f>
        <v>14.555899999999999</v>
      </c>
      <c r="J497" s="4">
        <f>CHOOSE( CONTROL!$C$33, 14.3871, 14.386) * CHOOSE(CONTROL!$C$16, $D$11, 100%, $F$11)</f>
        <v>14.3871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19.814599999999999</v>
      </c>
      <c r="R497" s="9"/>
      <c r="S497" s="11"/>
    </row>
    <row r="498" spans="1:19" ht="15.75">
      <c r="A498" s="13">
        <v>56308</v>
      </c>
      <c r="B498" s="8">
        <f>CHOOSE( CONTROL!$C$33, 13.8751, 13.874) * CHOOSE(CONTROL!$C$16, $D$11, 100%, $F$11)</f>
        <v>13.8751</v>
      </c>
      <c r="C498" s="8">
        <f>CHOOSE( CONTROL!$C$33, 13.8802, 13.8791) * CHOOSE(CONTROL!$C$16, $D$11, 100%, $F$11)</f>
        <v>13.8802</v>
      </c>
      <c r="D498" s="8">
        <f>CHOOSE( CONTROL!$C$33, 13.8827, 13.8817) * CHOOSE( CONTROL!$C$16, $D$11, 100%, $F$11)</f>
        <v>13.8827</v>
      </c>
      <c r="E498" s="12">
        <f>CHOOSE( CONTROL!$C$33, 13.8812, 13.8802) * CHOOSE( CONTROL!$C$16, $D$11, 100%, $F$11)</f>
        <v>13.8812</v>
      </c>
      <c r="F498" s="4">
        <f>CHOOSE( CONTROL!$C$33, 14.5352, 14.5342) * CHOOSE(CONTROL!$C$16, $D$11, 100%, $F$11)</f>
        <v>14.5352</v>
      </c>
      <c r="G498" s="8">
        <f>CHOOSE( CONTROL!$C$33, 13.7343, 13.7333) * CHOOSE( CONTROL!$C$16, $D$11, 100%, $F$11)</f>
        <v>13.734299999999999</v>
      </c>
      <c r="H498" s="4">
        <f>CHOOSE( CONTROL!$C$33, 14.6117, 14.6106) * CHOOSE(CONTROL!$C$16, $D$11, 100%, $F$11)</f>
        <v>14.611700000000001</v>
      </c>
      <c r="I498" s="8">
        <f>CHOOSE( CONTROL!$C$33, 13.6251, 13.6241) * CHOOSE(CONTROL!$C$16, $D$11, 100%, $F$11)</f>
        <v>13.6251</v>
      </c>
      <c r="J498" s="4">
        <f>CHOOSE( CONTROL!$C$33, 13.457, 13.456) * CHOOSE(CONTROL!$C$16, $D$11, 100%, $F$11)</f>
        <v>13.457000000000001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17.896999999999998</v>
      </c>
      <c r="R498" s="9"/>
      <c r="S498" s="11"/>
    </row>
    <row r="499" spans="1:19" ht="15.75">
      <c r="A499" s="13">
        <v>56339</v>
      </c>
      <c r="B499" s="8">
        <f>CHOOSE( CONTROL!$C$33, 13.58, 13.5789) * CHOOSE(CONTROL!$C$16, $D$11, 100%, $F$11)</f>
        <v>13.58</v>
      </c>
      <c r="C499" s="8">
        <f>CHOOSE( CONTROL!$C$33, 13.585, 13.5839) * CHOOSE(CONTROL!$C$16, $D$11, 100%, $F$11)</f>
        <v>13.585000000000001</v>
      </c>
      <c r="D499" s="8">
        <f>CHOOSE( CONTROL!$C$33, 13.5869, 13.5858) * CHOOSE( CONTROL!$C$16, $D$11, 100%, $F$11)</f>
        <v>13.5869</v>
      </c>
      <c r="E499" s="12">
        <f>CHOOSE( CONTROL!$C$33, 13.5857, 13.5846) * CHOOSE( CONTROL!$C$16, $D$11, 100%, $F$11)</f>
        <v>13.585699999999999</v>
      </c>
      <c r="F499" s="4">
        <f>CHOOSE( CONTROL!$C$33, 14.2401, 14.239) * CHOOSE(CONTROL!$C$16, $D$11, 100%, $F$11)</f>
        <v>14.2401</v>
      </c>
      <c r="G499" s="8">
        <f>CHOOSE( CONTROL!$C$33, 13.4421, 13.4411) * CHOOSE( CONTROL!$C$16, $D$11, 100%, $F$11)</f>
        <v>13.4421</v>
      </c>
      <c r="H499" s="4">
        <f>CHOOSE( CONTROL!$C$33, 14.32, 14.3189) * CHOOSE(CONTROL!$C$16, $D$11, 100%, $F$11)</f>
        <v>14.32</v>
      </c>
      <c r="I499" s="8">
        <f>CHOOSE( CONTROL!$C$33, 13.3364, 13.3353) * CHOOSE(CONTROL!$C$16, $D$11, 100%, $F$11)</f>
        <v>13.336399999999999</v>
      </c>
      <c r="J499" s="4">
        <f>CHOOSE( CONTROL!$C$33, 13.1706, 13.1695) * CHOOSE(CONTROL!$C$16, $D$11, 100%, $F$11)</f>
        <v>13.1706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19.814599999999999</v>
      </c>
      <c r="R499" s="9"/>
      <c r="S499" s="11"/>
    </row>
    <row r="500" spans="1:19" ht="15.75">
      <c r="A500" s="13">
        <v>56369</v>
      </c>
      <c r="B500" s="8">
        <f>CHOOSE( CONTROL!$C$33, 13.787, 13.7859) * CHOOSE(CONTROL!$C$16, $D$11, 100%, $F$11)</f>
        <v>13.787000000000001</v>
      </c>
      <c r="C500" s="8">
        <f>CHOOSE( CONTROL!$C$33, 13.7915, 13.7904) * CHOOSE(CONTROL!$C$16, $D$11, 100%, $F$11)</f>
        <v>13.791499999999999</v>
      </c>
      <c r="D500" s="8">
        <f>CHOOSE( CONTROL!$C$33, 13.8158, 13.8147) * CHOOSE( CONTROL!$C$16, $D$11, 100%, $F$11)</f>
        <v>13.815799999999999</v>
      </c>
      <c r="E500" s="12">
        <f>CHOOSE( CONTROL!$C$33, 13.8073, 13.8062) * CHOOSE( CONTROL!$C$16, $D$11, 100%, $F$11)</f>
        <v>13.8073</v>
      </c>
      <c r="F500" s="4">
        <f>CHOOSE( CONTROL!$C$33, 14.5159, 14.5148) * CHOOSE(CONTROL!$C$16, $D$11, 100%, $F$11)</f>
        <v>14.5159</v>
      </c>
      <c r="G500" s="8">
        <f>CHOOSE( CONTROL!$C$33, 13.6557, 13.6546) * CHOOSE( CONTROL!$C$16, $D$11, 100%, $F$11)</f>
        <v>13.6557</v>
      </c>
      <c r="H500" s="4">
        <f>CHOOSE( CONTROL!$C$33, 14.5925, 14.5915) * CHOOSE(CONTROL!$C$16, $D$11, 100%, $F$11)</f>
        <v>14.592499999999999</v>
      </c>
      <c r="I500" s="8">
        <f>CHOOSE( CONTROL!$C$33, 13.5019, 13.5008) * CHOOSE(CONTROL!$C$16, $D$11, 100%, $F$11)</f>
        <v>13.501899999999999</v>
      </c>
      <c r="J500" s="4">
        <f>CHOOSE( CONTROL!$C$33, 13.3708, 13.3697) * CHOOSE(CONTROL!$C$16, $D$11, 100%, $F$11)</f>
        <v>13.370799999999999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1.2509999999999999</v>
      </c>
      <c r="Q500" s="9">
        <v>19.1754</v>
      </c>
      <c r="R500" s="9"/>
      <c r="S500" s="11"/>
    </row>
    <row r="501" spans="1:19" ht="15.75">
      <c r="A501" s="13">
        <v>56400</v>
      </c>
      <c r="B501" s="8">
        <f>CHOOSE( CONTROL!$C$33, 14.156, 14.1543) * CHOOSE(CONTROL!$C$16, $D$11, 100%, $F$11)</f>
        <v>14.156000000000001</v>
      </c>
      <c r="C501" s="8">
        <f>CHOOSE( CONTROL!$C$33, 14.164, 14.1623) * CHOOSE(CONTROL!$C$16, $D$11, 100%, $F$11)</f>
        <v>14.164</v>
      </c>
      <c r="D501" s="8">
        <f>CHOOSE( CONTROL!$C$33, 14.1823, 14.1806) * CHOOSE( CONTROL!$C$16, $D$11, 100%, $F$11)</f>
        <v>14.1823</v>
      </c>
      <c r="E501" s="12">
        <f>CHOOSE( CONTROL!$C$33, 14.1744, 14.1727) * CHOOSE( CONTROL!$C$16, $D$11, 100%, $F$11)</f>
        <v>14.1744</v>
      </c>
      <c r="F501" s="4">
        <f>CHOOSE( CONTROL!$C$33, 14.8835, 14.8819) * CHOOSE(CONTROL!$C$16, $D$11, 100%, $F$11)</f>
        <v>14.8835</v>
      </c>
      <c r="G501" s="8">
        <f>CHOOSE( CONTROL!$C$33, 14.0189, 14.0173) * CHOOSE( CONTROL!$C$16, $D$11, 100%, $F$11)</f>
        <v>14.0189</v>
      </c>
      <c r="H501" s="4">
        <f>CHOOSE( CONTROL!$C$33, 14.9559, 14.9542) * CHOOSE(CONTROL!$C$16, $D$11, 100%, $F$11)</f>
        <v>14.9559</v>
      </c>
      <c r="I501" s="8">
        <f>CHOOSE( CONTROL!$C$33, 13.8583, 13.8567) * CHOOSE(CONTROL!$C$16, $D$11, 100%, $F$11)</f>
        <v>13.8583</v>
      </c>
      <c r="J501" s="4">
        <f>CHOOSE( CONTROL!$C$33, 13.7276, 13.7259) * CHOOSE(CONTROL!$C$16, $D$11, 100%, $F$11)</f>
        <v>13.727600000000001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1.2927</v>
      </c>
      <c r="Q501" s="9">
        <v>19.814599999999999</v>
      </c>
      <c r="R501" s="9"/>
      <c r="S501" s="11"/>
    </row>
    <row r="502" spans="1:19" ht="15.75">
      <c r="A502" s="13">
        <v>56430</v>
      </c>
      <c r="B502" s="8">
        <f>CHOOSE( CONTROL!$C$33, 13.9286, 13.9269) * CHOOSE(CONTROL!$C$16, $D$11, 100%, $F$11)</f>
        <v>13.928599999999999</v>
      </c>
      <c r="C502" s="8">
        <f>CHOOSE( CONTROL!$C$33, 13.9366, 13.9349) * CHOOSE(CONTROL!$C$16, $D$11, 100%, $F$11)</f>
        <v>13.9366</v>
      </c>
      <c r="D502" s="8">
        <f>CHOOSE( CONTROL!$C$33, 13.9551, 13.9535) * CHOOSE( CONTROL!$C$16, $D$11, 100%, $F$11)</f>
        <v>13.9551</v>
      </c>
      <c r="E502" s="12">
        <f>CHOOSE( CONTROL!$C$33, 13.9472, 13.9455) * CHOOSE( CONTROL!$C$16, $D$11, 100%, $F$11)</f>
        <v>13.9472</v>
      </c>
      <c r="F502" s="4">
        <f>CHOOSE( CONTROL!$C$33, 14.6561, 14.6545) * CHOOSE(CONTROL!$C$16, $D$11, 100%, $F$11)</f>
        <v>14.6561</v>
      </c>
      <c r="G502" s="8">
        <f>CHOOSE( CONTROL!$C$33, 13.7944, 13.7927) * CHOOSE( CONTROL!$C$16, $D$11, 100%, $F$11)</f>
        <v>13.7944</v>
      </c>
      <c r="H502" s="4">
        <f>CHOOSE( CONTROL!$C$33, 14.7311, 14.7295) * CHOOSE(CONTROL!$C$16, $D$11, 100%, $F$11)</f>
        <v>14.7311</v>
      </c>
      <c r="I502" s="8">
        <f>CHOOSE( CONTROL!$C$33, 13.6383, 13.6367) * CHOOSE(CONTROL!$C$16, $D$11, 100%, $F$11)</f>
        <v>13.638299999999999</v>
      </c>
      <c r="J502" s="4">
        <f>CHOOSE( CONTROL!$C$33, 13.5069, 13.5053) * CHOOSE(CONTROL!$C$16, $D$11, 100%, $F$11)</f>
        <v>13.5069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1.2509999999999999</v>
      </c>
      <c r="Q502" s="9">
        <v>19.1754</v>
      </c>
      <c r="R502" s="9"/>
      <c r="S502" s="11"/>
    </row>
    <row r="503" spans="1:19" ht="15.75">
      <c r="A503" s="13">
        <v>56461</v>
      </c>
      <c r="B503" s="8">
        <f>CHOOSE( CONTROL!$C$33, 14.5274, 14.5257) * CHOOSE(CONTROL!$C$16, $D$11, 100%, $F$11)</f>
        <v>14.5274</v>
      </c>
      <c r="C503" s="8">
        <f>CHOOSE( CONTROL!$C$33, 14.5354, 14.5337) * CHOOSE(CONTROL!$C$16, $D$11, 100%, $F$11)</f>
        <v>14.535399999999999</v>
      </c>
      <c r="D503" s="8">
        <f>CHOOSE( CONTROL!$C$33, 14.5542, 14.5525) * CHOOSE( CONTROL!$C$16, $D$11, 100%, $F$11)</f>
        <v>14.5542</v>
      </c>
      <c r="E503" s="12">
        <f>CHOOSE( CONTROL!$C$33, 14.5462, 14.5445) * CHOOSE( CONTROL!$C$16, $D$11, 100%, $F$11)</f>
        <v>14.546200000000001</v>
      </c>
      <c r="F503" s="4">
        <f>CHOOSE( CONTROL!$C$33, 15.2549, 15.2533) * CHOOSE(CONTROL!$C$16, $D$11, 100%, $F$11)</f>
        <v>15.254899999999999</v>
      </c>
      <c r="G503" s="8">
        <f>CHOOSE( CONTROL!$C$33, 14.3864, 14.3847) * CHOOSE( CONTROL!$C$16, $D$11, 100%, $F$11)</f>
        <v>14.3864</v>
      </c>
      <c r="H503" s="4">
        <f>CHOOSE( CONTROL!$C$33, 15.3229, 15.3213) * CHOOSE(CONTROL!$C$16, $D$11, 100%, $F$11)</f>
        <v>15.322900000000001</v>
      </c>
      <c r="I503" s="8">
        <f>CHOOSE( CONTROL!$C$33, 14.2206, 14.219) * CHOOSE(CONTROL!$C$16, $D$11, 100%, $F$11)</f>
        <v>14.220599999999999</v>
      </c>
      <c r="J503" s="4">
        <f>CHOOSE( CONTROL!$C$33, 14.088, 14.0864) * CHOOSE(CONTROL!$C$16, $D$11, 100%, $F$11)</f>
        <v>14.087999999999999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1.2927</v>
      </c>
      <c r="Q503" s="9">
        <v>19.814599999999999</v>
      </c>
      <c r="R503" s="9"/>
      <c r="S503" s="11"/>
    </row>
    <row r="504" spans="1:19" ht="15.75">
      <c r="A504" s="13">
        <v>56492</v>
      </c>
      <c r="B504" s="8">
        <f>CHOOSE( CONTROL!$C$33, 13.407, 13.4053) * CHOOSE(CONTROL!$C$16, $D$11, 100%, $F$11)</f>
        <v>13.407</v>
      </c>
      <c r="C504" s="8">
        <f>CHOOSE( CONTROL!$C$33, 13.4149, 13.4133) * CHOOSE(CONTROL!$C$16, $D$11, 100%, $F$11)</f>
        <v>13.414899999999999</v>
      </c>
      <c r="D504" s="8">
        <f>CHOOSE( CONTROL!$C$33, 13.4338, 13.4322) * CHOOSE( CONTROL!$C$16, $D$11, 100%, $F$11)</f>
        <v>13.4338</v>
      </c>
      <c r="E504" s="12">
        <f>CHOOSE( CONTROL!$C$33, 13.4257, 13.4241) * CHOOSE( CONTROL!$C$16, $D$11, 100%, $F$11)</f>
        <v>13.425700000000001</v>
      </c>
      <c r="F504" s="4">
        <f>CHOOSE( CONTROL!$C$33, 14.1345, 14.1329) * CHOOSE(CONTROL!$C$16, $D$11, 100%, $F$11)</f>
        <v>14.134499999999999</v>
      </c>
      <c r="G504" s="8">
        <f>CHOOSE( CONTROL!$C$33, 13.2791, 13.2775) * CHOOSE( CONTROL!$C$16, $D$11, 100%, $F$11)</f>
        <v>13.2791</v>
      </c>
      <c r="H504" s="4">
        <f>CHOOSE( CONTROL!$C$33, 14.2156, 14.214) * CHOOSE(CONTROL!$C$16, $D$11, 100%, $F$11)</f>
        <v>14.2156</v>
      </c>
      <c r="I504" s="8">
        <f>CHOOSE( CONTROL!$C$33, 13.133, 13.1313) * CHOOSE(CONTROL!$C$16, $D$11, 100%, $F$11)</f>
        <v>13.132999999999999</v>
      </c>
      <c r="J504" s="4">
        <f>CHOOSE( CONTROL!$C$33, 13.0006, 12.999) * CHOOSE(CONTROL!$C$16, $D$11, 100%, $F$11)</f>
        <v>13.0006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1.2927</v>
      </c>
      <c r="Q504" s="9">
        <v>19.814599999999999</v>
      </c>
      <c r="R504" s="9"/>
      <c r="S504" s="11"/>
    </row>
    <row r="505" spans="1:19" ht="15.75">
      <c r="A505" s="13">
        <v>56522</v>
      </c>
      <c r="B505" s="8">
        <f>CHOOSE( CONTROL!$C$33, 13.1264, 13.1247) * CHOOSE(CONTROL!$C$16, $D$11, 100%, $F$11)</f>
        <v>13.1264</v>
      </c>
      <c r="C505" s="8">
        <f>CHOOSE( CONTROL!$C$33, 13.1344, 13.1327) * CHOOSE(CONTROL!$C$16, $D$11, 100%, $F$11)</f>
        <v>13.134399999999999</v>
      </c>
      <c r="D505" s="8">
        <f>CHOOSE( CONTROL!$C$33, 13.1531, 13.1515) * CHOOSE( CONTROL!$C$16, $D$11, 100%, $F$11)</f>
        <v>13.1531</v>
      </c>
      <c r="E505" s="12">
        <f>CHOOSE( CONTROL!$C$33, 13.1451, 13.1435) * CHOOSE( CONTROL!$C$16, $D$11, 100%, $F$11)</f>
        <v>13.145099999999999</v>
      </c>
      <c r="F505" s="4">
        <f>CHOOSE( CONTROL!$C$33, 13.854, 13.8523) * CHOOSE(CONTROL!$C$16, $D$11, 100%, $F$11)</f>
        <v>13.853999999999999</v>
      </c>
      <c r="G505" s="8">
        <f>CHOOSE( CONTROL!$C$33, 13.0018, 13.0001) * CHOOSE( CONTROL!$C$16, $D$11, 100%, $F$11)</f>
        <v>13.001799999999999</v>
      </c>
      <c r="H505" s="4">
        <f>CHOOSE( CONTROL!$C$33, 13.9384, 13.9367) * CHOOSE(CONTROL!$C$16, $D$11, 100%, $F$11)</f>
        <v>13.9384</v>
      </c>
      <c r="I505" s="8">
        <f>CHOOSE( CONTROL!$C$33, 12.8602, 12.8585) * CHOOSE(CONTROL!$C$16, $D$11, 100%, $F$11)</f>
        <v>12.860200000000001</v>
      </c>
      <c r="J505" s="4">
        <f>CHOOSE( CONTROL!$C$33, 12.7284, 12.7267) * CHOOSE(CONTROL!$C$16, $D$11, 100%, $F$11)</f>
        <v>12.728400000000001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1.2509999999999999</v>
      </c>
      <c r="Q505" s="9">
        <v>19.1754</v>
      </c>
      <c r="R505" s="9"/>
      <c r="S505" s="11"/>
    </row>
    <row r="506" spans="1:19" ht="15.75">
      <c r="A506" s="13">
        <v>56553</v>
      </c>
      <c r="B506" s="8">
        <f>CHOOSE( CONTROL!$C$33, 13.7067, 13.7056) * CHOOSE(CONTROL!$C$16, $D$11, 100%, $F$11)</f>
        <v>13.7067</v>
      </c>
      <c r="C506" s="8">
        <f>CHOOSE( CONTROL!$C$33, 13.712, 13.7109) * CHOOSE(CONTROL!$C$16, $D$11, 100%, $F$11)</f>
        <v>13.712</v>
      </c>
      <c r="D506" s="8">
        <f>CHOOSE( CONTROL!$C$33, 13.7364, 13.7353) * CHOOSE( CONTROL!$C$16, $D$11, 100%, $F$11)</f>
        <v>13.7364</v>
      </c>
      <c r="E506" s="12">
        <f>CHOOSE( CONTROL!$C$33, 13.7278, 13.7267) * CHOOSE( CONTROL!$C$16, $D$11, 100%, $F$11)</f>
        <v>13.7278</v>
      </c>
      <c r="F506" s="4">
        <f>CHOOSE( CONTROL!$C$33, 14.4359, 14.4348) * CHOOSE(CONTROL!$C$16, $D$11, 100%, $F$11)</f>
        <v>14.4359</v>
      </c>
      <c r="G506" s="8">
        <f>CHOOSE( CONTROL!$C$33, 13.5771, 13.576) * CHOOSE( CONTROL!$C$16, $D$11, 100%, $F$11)</f>
        <v>13.5771</v>
      </c>
      <c r="H506" s="4">
        <f>CHOOSE( CONTROL!$C$33, 14.5135, 14.5124) * CHOOSE(CONTROL!$C$16, $D$11, 100%, $F$11)</f>
        <v>14.513500000000001</v>
      </c>
      <c r="I506" s="8">
        <f>CHOOSE( CONTROL!$C$33, 13.4261, 13.4251) * CHOOSE(CONTROL!$C$16, $D$11, 100%, $F$11)</f>
        <v>13.4261</v>
      </c>
      <c r="J506" s="4">
        <f>CHOOSE( CONTROL!$C$33, 13.2932, 13.2921) * CHOOSE(CONTROL!$C$16, $D$11, 100%, $F$11)</f>
        <v>13.293200000000001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1.2927</v>
      </c>
      <c r="Q506" s="9">
        <v>19.814599999999999</v>
      </c>
      <c r="R506" s="9"/>
      <c r="S506" s="11"/>
    </row>
    <row r="507" spans="1:19" ht="15.75">
      <c r="A507" s="13">
        <v>56583</v>
      </c>
      <c r="B507" s="8">
        <f>CHOOSE( CONTROL!$C$33, 14.7815, 14.7804) * CHOOSE(CONTROL!$C$16, $D$11, 100%, $F$11)</f>
        <v>14.781499999999999</v>
      </c>
      <c r="C507" s="8">
        <f>CHOOSE( CONTROL!$C$33, 14.7866, 14.7855) * CHOOSE(CONTROL!$C$16, $D$11, 100%, $F$11)</f>
        <v>14.7866</v>
      </c>
      <c r="D507" s="8">
        <f>CHOOSE( CONTROL!$C$33, 14.777, 14.7759) * CHOOSE( CONTROL!$C$16, $D$11, 100%, $F$11)</f>
        <v>14.776999999999999</v>
      </c>
      <c r="E507" s="12">
        <f>CHOOSE( CONTROL!$C$33, 14.78, 14.7789) * CHOOSE( CONTROL!$C$16, $D$11, 100%, $F$11)</f>
        <v>14.78</v>
      </c>
      <c r="F507" s="4">
        <f>CHOOSE( CONTROL!$C$33, 15.4417, 15.4406) * CHOOSE(CONTROL!$C$16, $D$11, 100%, $F$11)</f>
        <v>15.441700000000001</v>
      </c>
      <c r="G507" s="8">
        <f>CHOOSE( CONTROL!$C$33, 14.6263, 14.6253) * CHOOSE( CONTROL!$C$16, $D$11, 100%, $F$11)</f>
        <v>14.626300000000001</v>
      </c>
      <c r="H507" s="4">
        <f>CHOOSE( CONTROL!$C$33, 15.5075, 15.5064) * CHOOSE(CONTROL!$C$16, $D$11, 100%, $F$11)</f>
        <v>15.5075</v>
      </c>
      <c r="I507" s="8">
        <f>CHOOSE( CONTROL!$C$33, 14.5296, 14.5285) * CHOOSE(CONTROL!$C$16, $D$11, 100%, $F$11)</f>
        <v>14.5296</v>
      </c>
      <c r="J507" s="4">
        <f>CHOOSE( CONTROL!$C$33, 14.3367, 14.3357) * CHOOSE(CONTROL!$C$16, $D$11, 100%, $F$11)</f>
        <v>14.3367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19.1754</v>
      </c>
      <c r="R507" s="9"/>
      <c r="S507" s="11"/>
    </row>
    <row r="508" spans="1:19" ht="15.75">
      <c r="A508" s="13">
        <v>56614</v>
      </c>
      <c r="B508" s="8">
        <f>CHOOSE( CONTROL!$C$33, 14.7547, 14.7536) * CHOOSE(CONTROL!$C$16, $D$11, 100%, $F$11)</f>
        <v>14.7547</v>
      </c>
      <c r="C508" s="8">
        <f>CHOOSE( CONTROL!$C$33, 14.7597, 14.7587) * CHOOSE(CONTROL!$C$16, $D$11, 100%, $F$11)</f>
        <v>14.7597</v>
      </c>
      <c r="D508" s="8">
        <f>CHOOSE( CONTROL!$C$33, 14.7516, 14.7505) * CHOOSE( CONTROL!$C$16, $D$11, 100%, $F$11)</f>
        <v>14.7516</v>
      </c>
      <c r="E508" s="12">
        <f>CHOOSE( CONTROL!$C$33, 14.754, 14.753) * CHOOSE( CONTROL!$C$16, $D$11, 100%, $F$11)</f>
        <v>14.754</v>
      </c>
      <c r="F508" s="4">
        <f>CHOOSE( CONTROL!$C$33, 15.4148, 15.4137) * CHOOSE(CONTROL!$C$16, $D$11, 100%, $F$11)</f>
        <v>15.4148</v>
      </c>
      <c r="G508" s="8">
        <f>CHOOSE( CONTROL!$C$33, 14.6008, 14.5997) * CHOOSE( CONTROL!$C$16, $D$11, 100%, $F$11)</f>
        <v>14.6008</v>
      </c>
      <c r="H508" s="4">
        <f>CHOOSE( CONTROL!$C$33, 15.4809, 15.4798) * CHOOSE(CONTROL!$C$16, $D$11, 100%, $F$11)</f>
        <v>15.4809</v>
      </c>
      <c r="I508" s="8">
        <f>CHOOSE( CONTROL!$C$33, 14.5079, 14.5069) * CHOOSE(CONTROL!$C$16, $D$11, 100%, $F$11)</f>
        <v>14.507899999999999</v>
      </c>
      <c r="J508" s="4">
        <f>CHOOSE( CONTROL!$C$33, 14.3106, 14.3096) * CHOOSE(CONTROL!$C$16, $D$11, 100%, $F$11)</f>
        <v>14.310600000000001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19.814599999999999</v>
      </c>
      <c r="R508" s="9"/>
      <c r="S508" s="11"/>
    </row>
    <row r="509" spans="1:19" ht="15.75">
      <c r="A509" s="13">
        <v>56645</v>
      </c>
      <c r="B509" s="8">
        <f>CHOOSE( CONTROL!$C$33, 15.1896, 15.1885) * CHOOSE(CONTROL!$C$16, $D$11, 100%, $F$11)</f>
        <v>15.1896</v>
      </c>
      <c r="C509" s="8">
        <f>CHOOSE( CONTROL!$C$33, 15.1947, 15.1936) * CHOOSE(CONTROL!$C$16, $D$11, 100%, $F$11)</f>
        <v>15.194699999999999</v>
      </c>
      <c r="D509" s="8">
        <f>CHOOSE( CONTROL!$C$33, 15.1973, 15.1962) * CHOOSE( CONTROL!$C$16, $D$11, 100%, $F$11)</f>
        <v>15.1973</v>
      </c>
      <c r="E509" s="12">
        <f>CHOOSE( CONTROL!$C$33, 15.1958, 15.1947) * CHOOSE( CONTROL!$C$16, $D$11, 100%, $F$11)</f>
        <v>15.1958</v>
      </c>
      <c r="F509" s="4">
        <f>CHOOSE( CONTROL!$C$33, 15.8497, 15.8486) * CHOOSE(CONTROL!$C$16, $D$11, 100%, $F$11)</f>
        <v>15.8497</v>
      </c>
      <c r="G509" s="8">
        <f>CHOOSE( CONTROL!$C$33, 15.0335, 15.0324) * CHOOSE( CONTROL!$C$16, $D$11, 100%, $F$11)</f>
        <v>15.0335</v>
      </c>
      <c r="H509" s="4">
        <f>CHOOSE( CONTROL!$C$33, 15.9107, 15.9097) * CHOOSE(CONTROL!$C$16, $D$11, 100%, $F$11)</f>
        <v>15.9107</v>
      </c>
      <c r="I509" s="8">
        <f>CHOOSE( CONTROL!$C$33, 14.9017, 14.9006) * CHOOSE(CONTROL!$C$16, $D$11, 100%, $F$11)</f>
        <v>14.9017</v>
      </c>
      <c r="J509" s="4">
        <f>CHOOSE( CONTROL!$C$33, 14.7327, 14.7317) * CHOOSE(CONTROL!$C$16, $D$11, 100%, $F$11)</f>
        <v>14.732699999999999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19.751300000000001</v>
      </c>
      <c r="R509" s="9"/>
      <c r="S509" s="11"/>
    </row>
    <row r="510" spans="1:19" ht="15.75">
      <c r="A510" s="13">
        <v>56673</v>
      </c>
      <c r="B510" s="8">
        <f>CHOOSE( CONTROL!$C$33, 14.2082, 14.2072) * CHOOSE(CONTROL!$C$16, $D$11, 100%, $F$11)</f>
        <v>14.2082</v>
      </c>
      <c r="C510" s="8">
        <f>CHOOSE( CONTROL!$C$33, 14.2133, 14.2122) * CHOOSE(CONTROL!$C$16, $D$11, 100%, $F$11)</f>
        <v>14.2133</v>
      </c>
      <c r="D510" s="8">
        <f>CHOOSE( CONTROL!$C$33, 14.2159, 14.2148) * CHOOSE( CONTROL!$C$16, $D$11, 100%, $F$11)</f>
        <v>14.2159</v>
      </c>
      <c r="E510" s="12">
        <f>CHOOSE( CONTROL!$C$33, 14.2144, 14.2133) * CHOOSE( CONTROL!$C$16, $D$11, 100%, $F$11)</f>
        <v>14.214399999999999</v>
      </c>
      <c r="F510" s="4">
        <f>CHOOSE( CONTROL!$C$33, 14.8684, 14.8673) * CHOOSE(CONTROL!$C$16, $D$11, 100%, $F$11)</f>
        <v>14.868399999999999</v>
      </c>
      <c r="G510" s="8">
        <f>CHOOSE( CONTROL!$C$33, 14.0636, 14.0625) * CHOOSE( CONTROL!$C$16, $D$11, 100%, $F$11)</f>
        <v>14.063599999999999</v>
      </c>
      <c r="H510" s="4">
        <f>CHOOSE( CONTROL!$C$33, 14.9409, 14.9398) * CHOOSE(CONTROL!$C$16, $D$11, 100%, $F$11)</f>
        <v>14.940899999999999</v>
      </c>
      <c r="I510" s="8">
        <f>CHOOSE( CONTROL!$C$33, 13.9486, 13.9475) * CHOOSE(CONTROL!$C$16, $D$11, 100%, $F$11)</f>
        <v>13.948600000000001</v>
      </c>
      <c r="J510" s="4">
        <f>CHOOSE( CONTROL!$C$33, 13.7804, 13.7793) * CHOOSE(CONTROL!$C$16, $D$11, 100%, $F$11)</f>
        <v>13.7804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17.8399</v>
      </c>
      <c r="R510" s="9"/>
      <c r="S510" s="11"/>
    </row>
    <row r="511" spans="1:19" ht="15.75">
      <c r="A511" s="13">
        <v>56704</v>
      </c>
      <c r="B511" s="8">
        <f>CHOOSE( CONTROL!$C$33, 13.906, 13.9049) * CHOOSE(CONTROL!$C$16, $D$11, 100%, $F$11)</f>
        <v>13.906000000000001</v>
      </c>
      <c r="C511" s="8">
        <f>CHOOSE( CONTROL!$C$33, 13.9111, 13.91) * CHOOSE(CONTROL!$C$16, $D$11, 100%, $F$11)</f>
        <v>13.911099999999999</v>
      </c>
      <c r="D511" s="8">
        <f>CHOOSE( CONTROL!$C$33, 13.913, 13.9119) * CHOOSE( CONTROL!$C$16, $D$11, 100%, $F$11)</f>
        <v>13.913</v>
      </c>
      <c r="E511" s="12">
        <f>CHOOSE( CONTROL!$C$33, 13.9118, 13.9107) * CHOOSE( CONTROL!$C$16, $D$11, 100%, $F$11)</f>
        <v>13.911799999999999</v>
      </c>
      <c r="F511" s="4">
        <f>CHOOSE( CONTROL!$C$33, 14.5661, 14.565) * CHOOSE(CONTROL!$C$16, $D$11, 100%, $F$11)</f>
        <v>14.5661</v>
      </c>
      <c r="G511" s="8">
        <f>CHOOSE( CONTROL!$C$33, 13.7644, 13.7633) * CHOOSE( CONTROL!$C$16, $D$11, 100%, $F$11)</f>
        <v>13.7644</v>
      </c>
      <c r="H511" s="4">
        <f>CHOOSE( CONTROL!$C$33, 14.6422, 14.6411) * CHOOSE(CONTROL!$C$16, $D$11, 100%, $F$11)</f>
        <v>14.642200000000001</v>
      </c>
      <c r="I511" s="8">
        <f>CHOOSE( CONTROL!$C$33, 13.653, 13.6519) * CHOOSE(CONTROL!$C$16, $D$11, 100%, $F$11)</f>
        <v>13.653</v>
      </c>
      <c r="J511" s="4">
        <f>CHOOSE( CONTROL!$C$33, 13.487, 13.486) * CHOOSE(CONTROL!$C$16, $D$11, 100%, $F$11)</f>
        <v>13.487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19.751300000000001</v>
      </c>
      <c r="R511" s="9"/>
      <c r="S511" s="11"/>
    </row>
    <row r="512" spans="1:19" ht="15.75">
      <c r="A512" s="13">
        <v>56734</v>
      </c>
      <c r="B512" s="8">
        <f>CHOOSE( CONTROL!$C$33, 14.118, 14.1169) * CHOOSE(CONTROL!$C$16, $D$11, 100%, $F$11)</f>
        <v>14.118</v>
      </c>
      <c r="C512" s="8">
        <f>CHOOSE( CONTROL!$C$33, 14.1225, 14.1214) * CHOOSE(CONTROL!$C$16, $D$11, 100%, $F$11)</f>
        <v>14.1225</v>
      </c>
      <c r="D512" s="8">
        <f>CHOOSE( CONTROL!$C$33, 14.1468, 14.1458) * CHOOSE( CONTROL!$C$16, $D$11, 100%, $F$11)</f>
        <v>14.146800000000001</v>
      </c>
      <c r="E512" s="12">
        <f>CHOOSE( CONTROL!$C$33, 14.1383, 14.1372) * CHOOSE( CONTROL!$C$16, $D$11, 100%, $F$11)</f>
        <v>14.138299999999999</v>
      </c>
      <c r="F512" s="4">
        <f>CHOOSE( CONTROL!$C$33, 14.8469, 14.8458) * CHOOSE(CONTROL!$C$16, $D$11, 100%, $F$11)</f>
        <v>14.8469</v>
      </c>
      <c r="G512" s="8">
        <f>CHOOSE( CONTROL!$C$33, 13.9828, 13.9817) * CHOOSE( CONTROL!$C$16, $D$11, 100%, $F$11)</f>
        <v>13.982799999999999</v>
      </c>
      <c r="H512" s="4">
        <f>CHOOSE( CONTROL!$C$33, 14.9197, 14.9186) * CHOOSE(CONTROL!$C$16, $D$11, 100%, $F$11)</f>
        <v>14.919700000000001</v>
      </c>
      <c r="I512" s="8">
        <f>CHOOSE( CONTROL!$C$33, 13.8233, 13.8222) * CHOOSE(CONTROL!$C$16, $D$11, 100%, $F$11)</f>
        <v>13.8233</v>
      </c>
      <c r="J512" s="4">
        <f>CHOOSE( CONTROL!$C$33, 13.692, 13.6909) * CHOOSE(CONTROL!$C$16, $D$11, 100%, $F$11)</f>
        <v>13.692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1.2509999999999999</v>
      </c>
      <c r="Q512" s="9">
        <v>19.1142</v>
      </c>
      <c r="R512" s="9"/>
      <c r="S512" s="11"/>
    </row>
    <row r="513" spans="1:19" ht="15.75">
      <c r="A513" s="13">
        <v>56765</v>
      </c>
      <c r="B513" s="8">
        <f>CHOOSE( CONTROL!$C$33, 14.4958, 14.4941) * CHOOSE(CONTROL!$C$16, $D$11, 100%, $F$11)</f>
        <v>14.495799999999999</v>
      </c>
      <c r="C513" s="8">
        <f>CHOOSE( CONTROL!$C$33, 14.5038, 14.5021) * CHOOSE(CONTROL!$C$16, $D$11, 100%, $F$11)</f>
        <v>14.5038</v>
      </c>
      <c r="D513" s="8">
        <f>CHOOSE( CONTROL!$C$33, 14.5221, 14.5204) * CHOOSE( CONTROL!$C$16, $D$11, 100%, $F$11)</f>
        <v>14.5221</v>
      </c>
      <c r="E513" s="12">
        <f>CHOOSE( CONTROL!$C$33, 14.5142, 14.5125) * CHOOSE( CONTROL!$C$16, $D$11, 100%, $F$11)</f>
        <v>14.514200000000001</v>
      </c>
      <c r="F513" s="4">
        <f>CHOOSE( CONTROL!$C$33, 15.2234, 15.2217) * CHOOSE(CONTROL!$C$16, $D$11, 100%, $F$11)</f>
        <v>15.2234</v>
      </c>
      <c r="G513" s="8">
        <f>CHOOSE( CONTROL!$C$33, 14.3548, 14.3531) * CHOOSE( CONTROL!$C$16, $D$11, 100%, $F$11)</f>
        <v>14.354799999999999</v>
      </c>
      <c r="H513" s="4">
        <f>CHOOSE( CONTROL!$C$33, 15.2917, 15.2901) * CHOOSE(CONTROL!$C$16, $D$11, 100%, $F$11)</f>
        <v>15.291700000000001</v>
      </c>
      <c r="I513" s="8">
        <f>CHOOSE( CONTROL!$C$33, 14.1882, 14.1866) * CHOOSE(CONTROL!$C$16, $D$11, 100%, $F$11)</f>
        <v>14.1882</v>
      </c>
      <c r="J513" s="4">
        <f>CHOOSE( CONTROL!$C$33, 14.0574, 14.0557) * CHOOSE(CONTROL!$C$16, $D$11, 100%, $F$11)</f>
        <v>14.057399999999999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1.2927</v>
      </c>
      <c r="Q513" s="9">
        <v>19.751300000000001</v>
      </c>
      <c r="R513" s="9"/>
      <c r="S513" s="11"/>
    </row>
    <row r="514" spans="1:19" ht="15.75">
      <c r="A514" s="13">
        <v>56795</v>
      </c>
      <c r="B514" s="8">
        <f>CHOOSE( CONTROL!$C$33, 14.263, 14.2613) * CHOOSE(CONTROL!$C$16, $D$11, 100%, $F$11)</f>
        <v>14.263</v>
      </c>
      <c r="C514" s="8">
        <f>CHOOSE( CONTROL!$C$33, 14.2709, 14.2693) * CHOOSE(CONTROL!$C$16, $D$11, 100%, $F$11)</f>
        <v>14.270899999999999</v>
      </c>
      <c r="D514" s="8">
        <f>CHOOSE( CONTROL!$C$33, 14.2895, 14.2878) * CHOOSE( CONTROL!$C$16, $D$11, 100%, $F$11)</f>
        <v>14.2895</v>
      </c>
      <c r="E514" s="12">
        <f>CHOOSE( CONTROL!$C$33, 14.2816, 14.2799) * CHOOSE( CONTROL!$C$16, $D$11, 100%, $F$11)</f>
        <v>14.281599999999999</v>
      </c>
      <c r="F514" s="4">
        <f>CHOOSE( CONTROL!$C$33, 14.9905, 14.9888) * CHOOSE(CONTROL!$C$16, $D$11, 100%, $F$11)</f>
        <v>14.990500000000001</v>
      </c>
      <c r="G514" s="8">
        <f>CHOOSE( CONTROL!$C$33, 14.1248, 14.1232) * CHOOSE( CONTROL!$C$16, $D$11, 100%, $F$11)</f>
        <v>14.1248</v>
      </c>
      <c r="H514" s="4">
        <f>CHOOSE( CONTROL!$C$33, 15.0616, 15.06) * CHOOSE(CONTROL!$C$16, $D$11, 100%, $F$11)</f>
        <v>15.0616</v>
      </c>
      <c r="I514" s="8">
        <f>CHOOSE( CONTROL!$C$33, 13.963, 13.9614) * CHOOSE(CONTROL!$C$16, $D$11, 100%, $F$11)</f>
        <v>13.962999999999999</v>
      </c>
      <c r="J514" s="4">
        <f>CHOOSE( CONTROL!$C$33, 13.8314, 13.8298) * CHOOSE(CONTROL!$C$16, $D$11, 100%, $F$11)</f>
        <v>13.8314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1.2509999999999999</v>
      </c>
      <c r="Q514" s="9">
        <v>19.1142</v>
      </c>
      <c r="R514" s="9"/>
      <c r="S514" s="11"/>
    </row>
    <row r="515" spans="1:19" ht="15.75">
      <c r="A515" s="13">
        <v>56826</v>
      </c>
      <c r="B515" s="8">
        <f>CHOOSE( CONTROL!$C$33, 14.8761, 14.8745) * CHOOSE(CONTROL!$C$16, $D$11, 100%, $F$11)</f>
        <v>14.876099999999999</v>
      </c>
      <c r="C515" s="8">
        <f>CHOOSE( CONTROL!$C$33, 14.8841, 14.8825) * CHOOSE(CONTROL!$C$16, $D$11, 100%, $F$11)</f>
        <v>14.8841</v>
      </c>
      <c r="D515" s="8">
        <f>CHOOSE( CONTROL!$C$33, 14.9029, 14.9012) * CHOOSE( CONTROL!$C$16, $D$11, 100%, $F$11)</f>
        <v>14.902900000000001</v>
      </c>
      <c r="E515" s="12">
        <f>CHOOSE( CONTROL!$C$33, 14.8949, 14.8932) * CHOOSE( CONTROL!$C$16, $D$11, 100%, $F$11)</f>
        <v>14.8949</v>
      </c>
      <c r="F515" s="4">
        <f>CHOOSE( CONTROL!$C$33, 15.6037, 15.602) * CHOOSE(CONTROL!$C$16, $D$11, 100%, $F$11)</f>
        <v>15.6037</v>
      </c>
      <c r="G515" s="8">
        <f>CHOOSE( CONTROL!$C$33, 14.731, 14.7294) * CHOOSE( CONTROL!$C$16, $D$11, 100%, $F$11)</f>
        <v>14.731</v>
      </c>
      <c r="H515" s="4">
        <f>CHOOSE( CONTROL!$C$33, 15.6676, 15.666) * CHOOSE(CONTROL!$C$16, $D$11, 100%, $F$11)</f>
        <v>15.6676</v>
      </c>
      <c r="I515" s="8">
        <f>CHOOSE( CONTROL!$C$33, 14.5592, 14.5576) * CHOOSE(CONTROL!$C$16, $D$11, 100%, $F$11)</f>
        <v>14.559200000000001</v>
      </c>
      <c r="J515" s="4">
        <f>CHOOSE( CONTROL!$C$33, 14.4265, 14.4249) * CHOOSE(CONTROL!$C$16, $D$11, 100%, $F$11)</f>
        <v>14.426500000000001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1.2927</v>
      </c>
      <c r="Q515" s="9">
        <v>19.751300000000001</v>
      </c>
      <c r="R515" s="9"/>
      <c r="S515" s="11"/>
    </row>
    <row r="516" spans="1:19" ht="15.75">
      <c r="A516" s="13">
        <v>56857</v>
      </c>
      <c r="B516" s="8">
        <f>CHOOSE( CONTROL!$C$33, 13.7288, 13.7271) * CHOOSE(CONTROL!$C$16, $D$11, 100%, $F$11)</f>
        <v>13.7288</v>
      </c>
      <c r="C516" s="8">
        <f>CHOOSE( CONTROL!$C$33, 13.7368, 13.7351) * CHOOSE(CONTROL!$C$16, $D$11, 100%, $F$11)</f>
        <v>13.736800000000001</v>
      </c>
      <c r="D516" s="8">
        <f>CHOOSE( CONTROL!$C$33, 13.7556, 13.754) * CHOOSE( CONTROL!$C$16, $D$11, 100%, $F$11)</f>
        <v>13.755599999999999</v>
      </c>
      <c r="E516" s="12">
        <f>CHOOSE( CONTROL!$C$33, 13.7476, 13.7459) * CHOOSE( CONTROL!$C$16, $D$11, 100%, $F$11)</f>
        <v>13.7476</v>
      </c>
      <c r="F516" s="4">
        <f>CHOOSE( CONTROL!$C$33, 14.4563, 14.4547) * CHOOSE(CONTROL!$C$16, $D$11, 100%, $F$11)</f>
        <v>14.456300000000001</v>
      </c>
      <c r="G516" s="8">
        <f>CHOOSE( CONTROL!$C$33, 13.5972, 13.5955) * CHOOSE( CONTROL!$C$16, $D$11, 100%, $F$11)</f>
        <v>13.597200000000001</v>
      </c>
      <c r="H516" s="4">
        <f>CHOOSE( CONTROL!$C$33, 14.5337, 14.5321) * CHOOSE(CONTROL!$C$16, $D$11, 100%, $F$11)</f>
        <v>14.5337</v>
      </c>
      <c r="I516" s="8">
        <f>CHOOSE( CONTROL!$C$33, 13.4454, 13.4438) * CHOOSE(CONTROL!$C$16, $D$11, 100%, $F$11)</f>
        <v>13.445399999999999</v>
      </c>
      <c r="J516" s="4">
        <f>CHOOSE( CONTROL!$C$33, 13.313, 13.3114) * CHOOSE(CONTROL!$C$16, $D$11, 100%, $F$11)</f>
        <v>13.313000000000001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1.2927</v>
      </c>
      <c r="Q516" s="9">
        <v>19.751300000000001</v>
      </c>
      <c r="R516" s="9"/>
      <c r="S516" s="11"/>
    </row>
    <row r="517" spans="1:19" ht="15.75">
      <c r="A517" s="13">
        <v>56887</v>
      </c>
      <c r="B517" s="8">
        <f>CHOOSE( CONTROL!$C$33, 13.4415, 13.4398) * CHOOSE(CONTROL!$C$16, $D$11, 100%, $F$11)</f>
        <v>13.4415</v>
      </c>
      <c r="C517" s="8">
        <f>CHOOSE( CONTROL!$C$33, 13.4495, 13.4478) * CHOOSE(CONTROL!$C$16, $D$11, 100%, $F$11)</f>
        <v>13.4495</v>
      </c>
      <c r="D517" s="8">
        <f>CHOOSE( CONTROL!$C$33, 13.4682, 13.4666) * CHOOSE( CONTROL!$C$16, $D$11, 100%, $F$11)</f>
        <v>13.4682</v>
      </c>
      <c r="E517" s="12">
        <f>CHOOSE( CONTROL!$C$33, 13.4602, 13.4586) * CHOOSE( CONTROL!$C$16, $D$11, 100%, $F$11)</f>
        <v>13.4602</v>
      </c>
      <c r="F517" s="4">
        <f>CHOOSE( CONTROL!$C$33, 14.169, 14.1674) * CHOOSE(CONTROL!$C$16, $D$11, 100%, $F$11)</f>
        <v>14.169</v>
      </c>
      <c r="G517" s="8">
        <f>CHOOSE( CONTROL!$C$33, 13.3132, 13.3115) * CHOOSE( CONTROL!$C$16, $D$11, 100%, $F$11)</f>
        <v>13.3132</v>
      </c>
      <c r="H517" s="4">
        <f>CHOOSE( CONTROL!$C$33, 14.2498, 14.2481) * CHOOSE(CONTROL!$C$16, $D$11, 100%, $F$11)</f>
        <v>14.2498</v>
      </c>
      <c r="I517" s="8">
        <f>CHOOSE( CONTROL!$C$33, 13.1661, 13.1645) * CHOOSE(CONTROL!$C$16, $D$11, 100%, $F$11)</f>
        <v>13.1661</v>
      </c>
      <c r="J517" s="4">
        <f>CHOOSE( CONTROL!$C$33, 13.0341, 13.0325) * CHOOSE(CONTROL!$C$16, $D$11, 100%, $F$11)</f>
        <v>13.0341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1.2509999999999999</v>
      </c>
      <c r="Q517" s="9">
        <v>19.1142</v>
      </c>
      <c r="R517" s="9"/>
      <c r="S517" s="11"/>
    </row>
    <row r="518" spans="1:19" ht="15.75">
      <c r="A518" s="13">
        <v>56918</v>
      </c>
      <c r="B518" s="8">
        <f>CHOOSE( CONTROL!$C$33, 14.0357, 14.0347) * CHOOSE(CONTROL!$C$16, $D$11, 100%, $F$11)</f>
        <v>14.0357</v>
      </c>
      <c r="C518" s="8">
        <f>CHOOSE( CONTROL!$C$33, 14.0411, 14.04) * CHOOSE(CONTROL!$C$16, $D$11, 100%, $F$11)</f>
        <v>14.0411</v>
      </c>
      <c r="D518" s="8">
        <f>CHOOSE( CONTROL!$C$33, 14.0655, 14.0644) * CHOOSE( CONTROL!$C$16, $D$11, 100%, $F$11)</f>
        <v>14.0655</v>
      </c>
      <c r="E518" s="12">
        <f>CHOOSE( CONTROL!$C$33, 14.0569, 14.0558) * CHOOSE( CONTROL!$C$16, $D$11, 100%, $F$11)</f>
        <v>14.056900000000001</v>
      </c>
      <c r="F518" s="4">
        <f>CHOOSE( CONTROL!$C$33, 14.765, 14.7639) * CHOOSE(CONTROL!$C$16, $D$11, 100%, $F$11)</f>
        <v>14.765000000000001</v>
      </c>
      <c r="G518" s="8">
        <f>CHOOSE( CONTROL!$C$33, 13.9023, 13.9013) * CHOOSE( CONTROL!$C$16, $D$11, 100%, $F$11)</f>
        <v>13.9023</v>
      </c>
      <c r="H518" s="4">
        <f>CHOOSE( CONTROL!$C$33, 14.8387, 14.8377) * CHOOSE(CONTROL!$C$16, $D$11, 100%, $F$11)</f>
        <v>14.838699999999999</v>
      </c>
      <c r="I518" s="8">
        <f>CHOOSE( CONTROL!$C$33, 13.7457, 13.7446) * CHOOSE(CONTROL!$C$16, $D$11, 100%, $F$11)</f>
        <v>13.745699999999999</v>
      </c>
      <c r="J518" s="4">
        <f>CHOOSE( CONTROL!$C$33, 13.6125, 13.6115) * CHOOSE(CONTROL!$C$16, $D$11, 100%, $F$11)</f>
        <v>13.612500000000001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1.2927</v>
      </c>
      <c r="Q518" s="9">
        <v>19.751300000000001</v>
      </c>
      <c r="R518" s="9"/>
      <c r="S518" s="11"/>
    </row>
    <row r="519" spans="1:19" ht="15.75">
      <c r="A519" s="13">
        <v>56948</v>
      </c>
      <c r="B519" s="8">
        <f>CHOOSE( CONTROL!$C$33, 15.1364, 15.1354) * CHOOSE(CONTROL!$C$16, $D$11, 100%, $F$11)</f>
        <v>15.1364</v>
      </c>
      <c r="C519" s="8">
        <f>CHOOSE( CONTROL!$C$33, 15.1415, 15.1404) * CHOOSE(CONTROL!$C$16, $D$11, 100%, $F$11)</f>
        <v>15.141500000000001</v>
      </c>
      <c r="D519" s="8">
        <f>CHOOSE( CONTROL!$C$33, 15.1319, 15.1308) * CHOOSE( CONTROL!$C$16, $D$11, 100%, $F$11)</f>
        <v>15.1319</v>
      </c>
      <c r="E519" s="12">
        <f>CHOOSE( CONTROL!$C$33, 15.1349, 15.1338) * CHOOSE( CONTROL!$C$16, $D$11, 100%, $F$11)</f>
        <v>15.1349</v>
      </c>
      <c r="F519" s="4">
        <f>CHOOSE( CONTROL!$C$33, 15.7966, 15.7955) * CHOOSE(CONTROL!$C$16, $D$11, 100%, $F$11)</f>
        <v>15.7966</v>
      </c>
      <c r="G519" s="8">
        <f>CHOOSE( CONTROL!$C$33, 14.9771, 14.976) * CHOOSE( CONTROL!$C$16, $D$11, 100%, $F$11)</f>
        <v>14.9771</v>
      </c>
      <c r="H519" s="4">
        <f>CHOOSE( CONTROL!$C$33, 15.8582, 15.8572) * CHOOSE(CONTROL!$C$16, $D$11, 100%, $F$11)</f>
        <v>15.8582</v>
      </c>
      <c r="I519" s="8">
        <f>CHOOSE( CONTROL!$C$33, 14.8742, 14.8731) * CHOOSE(CONTROL!$C$16, $D$11, 100%, $F$11)</f>
        <v>14.8742</v>
      </c>
      <c r="J519" s="4">
        <f>CHOOSE( CONTROL!$C$33, 14.6812, 14.6801) * CHOOSE(CONTROL!$C$16, $D$11, 100%, $F$11)</f>
        <v>14.6812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19.1142</v>
      </c>
      <c r="R519" s="9"/>
      <c r="S519" s="11"/>
    </row>
    <row r="520" spans="1:19" ht="15.75">
      <c r="A520" s="13">
        <v>56979</v>
      </c>
      <c r="B520" s="8">
        <f>CHOOSE( CONTROL!$C$33, 15.1089, 15.1078) * CHOOSE(CONTROL!$C$16, $D$11, 100%, $F$11)</f>
        <v>15.1089</v>
      </c>
      <c r="C520" s="8">
        <f>CHOOSE( CONTROL!$C$33, 15.114, 15.1129) * CHOOSE(CONTROL!$C$16, $D$11, 100%, $F$11)</f>
        <v>15.114000000000001</v>
      </c>
      <c r="D520" s="8">
        <f>CHOOSE( CONTROL!$C$33, 15.1058, 15.1047) * CHOOSE( CONTROL!$C$16, $D$11, 100%, $F$11)</f>
        <v>15.1058</v>
      </c>
      <c r="E520" s="12">
        <f>CHOOSE( CONTROL!$C$33, 15.1083, 15.1072) * CHOOSE( CONTROL!$C$16, $D$11, 100%, $F$11)</f>
        <v>15.1083</v>
      </c>
      <c r="F520" s="4">
        <f>CHOOSE( CONTROL!$C$33, 15.7691, 15.768) * CHOOSE(CONTROL!$C$16, $D$11, 100%, $F$11)</f>
        <v>15.7691</v>
      </c>
      <c r="G520" s="8">
        <f>CHOOSE( CONTROL!$C$33, 14.9509, 14.9499) * CHOOSE( CONTROL!$C$16, $D$11, 100%, $F$11)</f>
        <v>14.950900000000001</v>
      </c>
      <c r="H520" s="4">
        <f>CHOOSE( CONTROL!$C$33, 15.831, 15.83) * CHOOSE(CONTROL!$C$16, $D$11, 100%, $F$11)</f>
        <v>15.831</v>
      </c>
      <c r="I520" s="8">
        <f>CHOOSE( CONTROL!$C$33, 14.8519, 14.8509) * CHOOSE(CONTROL!$C$16, $D$11, 100%, $F$11)</f>
        <v>14.851900000000001</v>
      </c>
      <c r="J520" s="4">
        <f>CHOOSE( CONTROL!$C$33, 14.6545, 14.6534) * CHOOSE(CONTROL!$C$16, $D$11, 100%, $F$11)</f>
        <v>14.654500000000001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19.751300000000001</v>
      </c>
      <c r="R520" s="9"/>
      <c r="S520" s="11"/>
    </row>
    <row r="521" spans="1:19" ht="15.75">
      <c r="A521" s="13">
        <v>57010</v>
      </c>
      <c r="B521" s="8">
        <f>CHOOSE( CONTROL!$C$33, 15.5543, 15.5532) * CHOOSE(CONTROL!$C$16, $D$11, 100%, $F$11)</f>
        <v>15.5543</v>
      </c>
      <c r="C521" s="8">
        <f>CHOOSE( CONTROL!$C$33, 15.5594, 15.5583) * CHOOSE(CONTROL!$C$16, $D$11, 100%, $F$11)</f>
        <v>15.5594</v>
      </c>
      <c r="D521" s="8">
        <f>CHOOSE( CONTROL!$C$33, 15.562, 15.5609) * CHOOSE( CONTROL!$C$16, $D$11, 100%, $F$11)</f>
        <v>15.561999999999999</v>
      </c>
      <c r="E521" s="12">
        <f>CHOOSE( CONTROL!$C$33, 15.5605, 15.5594) * CHOOSE( CONTROL!$C$16, $D$11, 100%, $F$11)</f>
        <v>15.560499999999999</v>
      </c>
      <c r="F521" s="4">
        <f>CHOOSE( CONTROL!$C$33, 16.2144, 16.2133) * CHOOSE(CONTROL!$C$16, $D$11, 100%, $F$11)</f>
        <v>16.214400000000001</v>
      </c>
      <c r="G521" s="8">
        <f>CHOOSE( CONTROL!$C$33, 15.3939, 15.3928) * CHOOSE( CONTROL!$C$16, $D$11, 100%, $F$11)</f>
        <v>15.3939</v>
      </c>
      <c r="H521" s="4">
        <f>CHOOSE( CONTROL!$C$33, 16.2712, 16.2701) * CHOOSE(CONTROL!$C$16, $D$11, 100%, $F$11)</f>
        <v>16.2712</v>
      </c>
      <c r="I521" s="8">
        <f>CHOOSE( CONTROL!$C$33, 15.2558, 15.2548) * CHOOSE(CONTROL!$C$16, $D$11, 100%, $F$11)</f>
        <v>15.255800000000001</v>
      </c>
      <c r="J521" s="4">
        <f>CHOOSE( CONTROL!$C$33, 15.0867, 15.0856) * CHOOSE(CONTROL!$C$16, $D$11, 100%, $F$11)</f>
        <v>15.0867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57038</v>
      </c>
      <c r="B522" s="8">
        <f>CHOOSE( CONTROL!$C$33, 14.5494, 14.5483) * CHOOSE(CONTROL!$C$16, $D$11, 100%, $F$11)</f>
        <v>14.5494</v>
      </c>
      <c r="C522" s="8">
        <f>CHOOSE( CONTROL!$C$33, 14.5545, 14.5534) * CHOOSE(CONTROL!$C$16, $D$11, 100%, $F$11)</f>
        <v>14.554500000000001</v>
      </c>
      <c r="D522" s="8">
        <f>CHOOSE( CONTROL!$C$33, 14.557, 14.5559) * CHOOSE( CONTROL!$C$16, $D$11, 100%, $F$11)</f>
        <v>14.557</v>
      </c>
      <c r="E522" s="12">
        <f>CHOOSE( CONTROL!$C$33, 14.5555, 14.5544) * CHOOSE( CONTROL!$C$16, $D$11, 100%, $F$11)</f>
        <v>14.5555</v>
      </c>
      <c r="F522" s="4">
        <f>CHOOSE( CONTROL!$C$33, 15.2095, 15.2084) * CHOOSE(CONTROL!$C$16, $D$11, 100%, $F$11)</f>
        <v>15.2095</v>
      </c>
      <c r="G522" s="8">
        <f>CHOOSE( CONTROL!$C$33, 14.4007, 14.3996) * CHOOSE( CONTROL!$C$16, $D$11, 100%, $F$11)</f>
        <v>14.400700000000001</v>
      </c>
      <c r="H522" s="4">
        <f>CHOOSE( CONTROL!$C$33, 15.278, 15.277) * CHOOSE(CONTROL!$C$16, $D$11, 100%, $F$11)</f>
        <v>15.278</v>
      </c>
      <c r="I522" s="8">
        <f>CHOOSE( CONTROL!$C$33, 14.2798, 14.2788) * CHOOSE(CONTROL!$C$16, $D$11, 100%, $F$11)</f>
        <v>14.2798</v>
      </c>
      <c r="J522" s="4">
        <f>CHOOSE( CONTROL!$C$33, 14.1114, 14.1104) * CHOOSE(CONTROL!$C$16, $D$11, 100%, $F$11)</f>
        <v>14.1114</v>
      </c>
      <c r="K522" s="4"/>
      <c r="L522" s="9">
        <v>27.415299999999998</v>
      </c>
      <c r="M522" s="9">
        <v>11.285299999999999</v>
      </c>
      <c r="N522" s="9">
        <v>4.6254999999999997</v>
      </c>
      <c r="O522" s="9">
        <v>0.34989999999999999</v>
      </c>
      <c r="P522" s="9">
        <v>1.2093</v>
      </c>
      <c r="Q522" s="9">
        <v>18.417899999999999</v>
      </c>
      <c r="R522" s="9"/>
      <c r="S522" s="11"/>
    </row>
    <row r="523" spans="1:19" ht="15.75">
      <c r="A523" s="13">
        <v>57070</v>
      </c>
      <c r="B523" s="8">
        <f>CHOOSE( CONTROL!$C$33, 14.2399, 14.2388) * CHOOSE(CONTROL!$C$16, $D$11, 100%, $F$11)</f>
        <v>14.2399</v>
      </c>
      <c r="C523" s="8">
        <f>CHOOSE( CONTROL!$C$33, 14.245, 14.2439) * CHOOSE(CONTROL!$C$16, $D$11, 100%, $F$11)</f>
        <v>14.244999999999999</v>
      </c>
      <c r="D523" s="8">
        <f>CHOOSE( CONTROL!$C$33, 14.2468, 14.2458) * CHOOSE( CONTROL!$C$16, $D$11, 100%, $F$11)</f>
        <v>14.2468</v>
      </c>
      <c r="E523" s="12">
        <f>CHOOSE( CONTROL!$C$33, 14.2456, 14.2446) * CHOOSE( CONTROL!$C$16, $D$11, 100%, $F$11)</f>
        <v>14.2456</v>
      </c>
      <c r="F523" s="4">
        <f>CHOOSE( CONTROL!$C$33, 14.9, 14.8989) * CHOOSE(CONTROL!$C$16, $D$11, 100%, $F$11)</f>
        <v>14.9</v>
      </c>
      <c r="G523" s="8">
        <f>CHOOSE( CONTROL!$C$33, 14.0943, 14.0933) * CHOOSE( CONTROL!$C$16, $D$11, 100%, $F$11)</f>
        <v>14.0943</v>
      </c>
      <c r="H523" s="4">
        <f>CHOOSE( CONTROL!$C$33, 14.9722, 14.9711) * CHOOSE(CONTROL!$C$16, $D$11, 100%, $F$11)</f>
        <v>14.972200000000001</v>
      </c>
      <c r="I523" s="8">
        <f>CHOOSE( CONTROL!$C$33, 13.9772, 13.9761) * CHOOSE(CONTROL!$C$16, $D$11, 100%, $F$11)</f>
        <v>13.9772</v>
      </c>
      <c r="J523" s="4">
        <f>CHOOSE( CONTROL!$C$33, 13.8111, 13.81) * CHOOSE(CONTROL!$C$16, $D$11, 100%, $F$11)</f>
        <v>13.8111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57100</v>
      </c>
      <c r="B524" s="8">
        <f>CHOOSE( CONTROL!$C$33, 14.4569, 14.4558) * CHOOSE(CONTROL!$C$16, $D$11, 100%, $F$11)</f>
        <v>14.456899999999999</v>
      </c>
      <c r="C524" s="8">
        <f>CHOOSE( CONTROL!$C$33, 14.4614, 14.4604) * CHOOSE(CONTROL!$C$16, $D$11, 100%, $F$11)</f>
        <v>14.461399999999999</v>
      </c>
      <c r="D524" s="8">
        <f>CHOOSE( CONTROL!$C$33, 14.4858, 14.4847) * CHOOSE( CONTROL!$C$16, $D$11, 100%, $F$11)</f>
        <v>14.485799999999999</v>
      </c>
      <c r="E524" s="12">
        <f>CHOOSE( CONTROL!$C$33, 14.4772, 14.4761) * CHOOSE( CONTROL!$C$16, $D$11, 100%, $F$11)</f>
        <v>14.4772</v>
      </c>
      <c r="F524" s="4">
        <f>CHOOSE( CONTROL!$C$33, 15.1858, 15.1848) * CHOOSE(CONTROL!$C$16, $D$11, 100%, $F$11)</f>
        <v>15.1858</v>
      </c>
      <c r="G524" s="8">
        <f>CHOOSE( CONTROL!$C$33, 14.3178, 14.3167) * CHOOSE( CONTROL!$C$16, $D$11, 100%, $F$11)</f>
        <v>14.3178</v>
      </c>
      <c r="H524" s="4">
        <f>CHOOSE( CONTROL!$C$33, 15.2546, 15.2536) * CHOOSE(CONTROL!$C$16, $D$11, 100%, $F$11)</f>
        <v>15.2546</v>
      </c>
      <c r="I524" s="8">
        <f>CHOOSE( CONTROL!$C$33, 14.1524, 14.1514) * CHOOSE(CONTROL!$C$16, $D$11, 100%, $F$11)</f>
        <v>14.1524</v>
      </c>
      <c r="J524" s="4">
        <f>CHOOSE( CONTROL!$C$33, 14.021, 14.0199) * CHOOSE(CONTROL!$C$16, $D$11, 100%, $F$11)</f>
        <v>14.021000000000001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1.2509999999999999</v>
      </c>
      <c r="Q524" s="9">
        <v>19.053000000000001</v>
      </c>
      <c r="R524" s="9"/>
      <c r="S524" s="11"/>
    </row>
    <row r="525" spans="1:19" ht="15.75">
      <c r="A525" s="13">
        <v>57131</v>
      </c>
      <c r="B525" s="8">
        <f>CHOOSE( CONTROL!$C$33, 14.8438, 14.8421) * CHOOSE(CONTROL!$C$16, $D$11, 100%, $F$11)</f>
        <v>14.8438</v>
      </c>
      <c r="C525" s="8">
        <f>CHOOSE( CONTROL!$C$33, 14.8518, 14.8501) * CHOOSE(CONTROL!$C$16, $D$11, 100%, $F$11)</f>
        <v>14.851800000000001</v>
      </c>
      <c r="D525" s="8">
        <f>CHOOSE( CONTROL!$C$33, 14.8701, 14.8684) * CHOOSE( CONTROL!$C$16, $D$11, 100%, $F$11)</f>
        <v>14.870100000000001</v>
      </c>
      <c r="E525" s="12">
        <f>CHOOSE( CONTROL!$C$33, 14.8622, 14.8605) * CHOOSE( CONTROL!$C$16, $D$11, 100%, $F$11)</f>
        <v>14.8622</v>
      </c>
      <c r="F525" s="4">
        <f>CHOOSE( CONTROL!$C$33, 15.5713, 15.5697) * CHOOSE(CONTROL!$C$16, $D$11, 100%, $F$11)</f>
        <v>15.571300000000001</v>
      </c>
      <c r="G525" s="8">
        <f>CHOOSE( CONTROL!$C$33, 14.6987, 14.697) * CHOOSE( CONTROL!$C$16, $D$11, 100%, $F$11)</f>
        <v>14.698700000000001</v>
      </c>
      <c r="H525" s="4">
        <f>CHOOSE( CONTROL!$C$33, 15.6356, 15.634) * CHOOSE(CONTROL!$C$16, $D$11, 100%, $F$11)</f>
        <v>15.6356</v>
      </c>
      <c r="I525" s="8">
        <f>CHOOSE( CONTROL!$C$33, 14.5261, 14.5245) * CHOOSE(CONTROL!$C$16, $D$11, 100%, $F$11)</f>
        <v>14.5261</v>
      </c>
      <c r="J525" s="4">
        <f>CHOOSE( CONTROL!$C$33, 14.3951, 14.3935) * CHOOSE(CONTROL!$C$16, $D$11, 100%, $F$11)</f>
        <v>14.395099999999999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1.2927</v>
      </c>
      <c r="Q525" s="9">
        <v>19.688099999999999</v>
      </c>
      <c r="R525" s="9"/>
      <c r="S525" s="11"/>
    </row>
    <row r="526" spans="1:19" ht="15.75">
      <c r="A526" s="13">
        <v>57161</v>
      </c>
      <c r="B526" s="8">
        <f>CHOOSE( CONTROL!$C$33, 14.6053, 14.6037) * CHOOSE(CONTROL!$C$16, $D$11, 100%, $F$11)</f>
        <v>14.6053</v>
      </c>
      <c r="C526" s="8">
        <f>CHOOSE( CONTROL!$C$33, 14.6133, 14.6117) * CHOOSE(CONTROL!$C$16, $D$11, 100%, $F$11)</f>
        <v>14.613300000000001</v>
      </c>
      <c r="D526" s="8">
        <f>CHOOSE( CONTROL!$C$33, 14.6319, 14.6302) * CHOOSE( CONTROL!$C$16, $D$11, 100%, $F$11)</f>
        <v>14.6319</v>
      </c>
      <c r="E526" s="12">
        <f>CHOOSE( CONTROL!$C$33, 14.6239, 14.6223) * CHOOSE( CONTROL!$C$16, $D$11, 100%, $F$11)</f>
        <v>14.623900000000001</v>
      </c>
      <c r="F526" s="4">
        <f>CHOOSE( CONTROL!$C$33, 15.3329, 15.3312) * CHOOSE(CONTROL!$C$16, $D$11, 100%, $F$11)</f>
        <v>15.3329</v>
      </c>
      <c r="G526" s="8">
        <f>CHOOSE( CONTROL!$C$33, 14.4632, 14.4616) * CHOOSE( CONTROL!$C$16, $D$11, 100%, $F$11)</f>
        <v>14.463200000000001</v>
      </c>
      <c r="H526" s="4">
        <f>CHOOSE( CONTROL!$C$33, 15.4, 15.3983) * CHOOSE(CONTROL!$C$16, $D$11, 100%, $F$11)</f>
        <v>15.4</v>
      </c>
      <c r="I526" s="8">
        <f>CHOOSE( CONTROL!$C$33, 14.2954, 14.2938) * CHOOSE(CONTROL!$C$16, $D$11, 100%, $F$11)</f>
        <v>14.295400000000001</v>
      </c>
      <c r="J526" s="4">
        <f>CHOOSE( CONTROL!$C$33, 14.1637, 14.1621) * CHOOSE(CONTROL!$C$16, $D$11, 100%, $F$11)</f>
        <v>14.1637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1.2509999999999999</v>
      </c>
      <c r="Q526" s="9">
        <v>19.053000000000001</v>
      </c>
      <c r="R526" s="9"/>
      <c r="S526" s="11"/>
    </row>
    <row r="527" spans="1:19" ht="15.75">
      <c r="A527" s="13">
        <v>57192</v>
      </c>
      <c r="B527" s="8">
        <f>CHOOSE( CONTROL!$C$33, 15.2333, 15.2316) * CHOOSE(CONTROL!$C$16, $D$11, 100%, $F$11)</f>
        <v>15.2333</v>
      </c>
      <c r="C527" s="8">
        <f>CHOOSE( CONTROL!$C$33, 15.2412, 15.2396) * CHOOSE(CONTROL!$C$16, $D$11, 100%, $F$11)</f>
        <v>15.241199999999999</v>
      </c>
      <c r="D527" s="8">
        <f>CHOOSE( CONTROL!$C$33, 15.26, 15.2584) * CHOOSE( CONTROL!$C$16, $D$11, 100%, $F$11)</f>
        <v>15.26</v>
      </c>
      <c r="E527" s="12">
        <f>CHOOSE( CONTROL!$C$33, 15.252, 15.2504) * CHOOSE( CONTROL!$C$16, $D$11, 100%, $F$11)</f>
        <v>15.252000000000001</v>
      </c>
      <c r="F527" s="4">
        <f>CHOOSE( CONTROL!$C$33, 15.9608, 15.9592) * CHOOSE(CONTROL!$C$16, $D$11, 100%, $F$11)</f>
        <v>15.960800000000001</v>
      </c>
      <c r="G527" s="8">
        <f>CHOOSE( CONTROL!$C$33, 15.084, 15.0823) * CHOOSE( CONTROL!$C$16, $D$11, 100%, $F$11)</f>
        <v>15.084</v>
      </c>
      <c r="H527" s="4">
        <f>CHOOSE( CONTROL!$C$33, 16.0205, 16.0189) * CHOOSE(CONTROL!$C$16, $D$11, 100%, $F$11)</f>
        <v>16.020499999999998</v>
      </c>
      <c r="I527" s="8">
        <f>CHOOSE( CONTROL!$C$33, 14.906, 14.9044) * CHOOSE(CONTROL!$C$16, $D$11, 100%, $F$11)</f>
        <v>14.906000000000001</v>
      </c>
      <c r="J527" s="4">
        <f>CHOOSE( CONTROL!$C$33, 14.7731, 14.7715) * CHOOSE(CONTROL!$C$16, $D$11, 100%, $F$11)</f>
        <v>14.773099999999999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1.2927</v>
      </c>
      <c r="Q527" s="9">
        <v>19.688099999999999</v>
      </c>
      <c r="R527" s="9"/>
      <c r="S527" s="11"/>
    </row>
    <row r="528" spans="1:19" ht="15.75">
      <c r="A528" s="13">
        <v>57223</v>
      </c>
      <c r="B528" s="8">
        <f>CHOOSE( CONTROL!$C$33, 14.0584, 14.0567) * CHOOSE(CONTROL!$C$16, $D$11, 100%, $F$11)</f>
        <v>14.058400000000001</v>
      </c>
      <c r="C528" s="8">
        <f>CHOOSE( CONTROL!$C$33, 14.0663, 14.0647) * CHOOSE(CONTROL!$C$16, $D$11, 100%, $F$11)</f>
        <v>14.0663</v>
      </c>
      <c r="D528" s="8">
        <f>CHOOSE( CONTROL!$C$33, 14.0852, 14.0835) * CHOOSE( CONTROL!$C$16, $D$11, 100%, $F$11)</f>
        <v>14.0852</v>
      </c>
      <c r="E528" s="12">
        <f>CHOOSE( CONTROL!$C$33, 14.0771, 14.0755) * CHOOSE( CONTROL!$C$16, $D$11, 100%, $F$11)</f>
        <v>14.0771</v>
      </c>
      <c r="F528" s="4">
        <f>CHOOSE( CONTROL!$C$33, 14.7859, 14.7843) * CHOOSE(CONTROL!$C$16, $D$11, 100%, $F$11)</f>
        <v>14.7859</v>
      </c>
      <c r="G528" s="8">
        <f>CHOOSE( CONTROL!$C$33, 13.9229, 13.9212) * CHOOSE( CONTROL!$C$16, $D$11, 100%, $F$11)</f>
        <v>13.9229</v>
      </c>
      <c r="H528" s="4">
        <f>CHOOSE( CONTROL!$C$33, 14.8594, 14.8578) * CHOOSE(CONTROL!$C$16, $D$11, 100%, $F$11)</f>
        <v>14.859400000000001</v>
      </c>
      <c r="I528" s="8">
        <f>CHOOSE( CONTROL!$C$33, 13.7654, 13.7638) * CHOOSE(CONTROL!$C$16, $D$11, 100%, $F$11)</f>
        <v>13.7654</v>
      </c>
      <c r="J528" s="4">
        <f>CHOOSE( CONTROL!$C$33, 13.6328, 13.6312) * CHOOSE(CONTROL!$C$16, $D$11, 100%, $F$11)</f>
        <v>13.6328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1.2927</v>
      </c>
      <c r="Q528" s="9">
        <v>19.688099999999999</v>
      </c>
      <c r="R528" s="9"/>
      <c r="S528" s="11"/>
    </row>
    <row r="529" spans="1:19" ht="15.75">
      <c r="A529" s="13">
        <v>57253</v>
      </c>
      <c r="B529" s="8">
        <f>CHOOSE( CONTROL!$C$33, 13.7641, 13.7625) * CHOOSE(CONTROL!$C$16, $D$11, 100%, $F$11)</f>
        <v>13.764099999999999</v>
      </c>
      <c r="C529" s="8">
        <f>CHOOSE( CONTROL!$C$33, 13.7721, 13.7705) * CHOOSE(CONTROL!$C$16, $D$11, 100%, $F$11)</f>
        <v>13.7721</v>
      </c>
      <c r="D529" s="8">
        <f>CHOOSE( CONTROL!$C$33, 13.7909, 13.7892) * CHOOSE( CONTROL!$C$16, $D$11, 100%, $F$11)</f>
        <v>13.790900000000001</v>
      </c>
      <c r="E529" s="12">
        <f>CHOOSE( CONTROL!$C$33, 13.7829, 13.7812) * CHOOSE( CONTROL!$C$16, $D$11, 100%, $F$11)</f>
        <v>13.7829</v>
      </c>
      <c r="F529" s="4">
        <f>CHOOSE( CONTROL!$C$33, 14.4917, 14.49) * CHOOSE(CONTROL!$C$16, $D$11, 100%, $F$11)</f>
        <v>14.4917</v>
      </c>
      <c r="G529" s="8">
        <f>CHOOSE( CONTROL!$C$33, 13.632, 13.6304) * CHOOSE( CONTROL!$C$16, $D$11, 100%, $F$11)</f>
        <v>13.632</v>
      </c>
      <c r="H529" s="4">
        <f>CHOOSE( CONTROL!$C$33, 14.5686, 14.567) * CHOOSE(CONTROL!$C$16, $D$11, 100%, $F$11)</f>
        <v>14.5686</v>
      </c>
      <c r="I529" s="8">
        <f>CHOOSE( CONTROL!$C$33, 13.4794, 13.4778) * CHOOSE(CONTROL!$C$16, $D$11, 100%, $F$11)</f>
        <v>13.4794</v>
      </c>
      <c r="J529" s="4">
        <f>CHOOSE( CONTROL!$C$33, 13.3473, 13.3457) * CHOOSE(CONTROL!$C$16, $D$11, 100%, $F$11)</f>
        <v>13.347300000000001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1.2509999999999999</v>
      </c>
      <c r="Q529" s="9">
        <v>19.053000000000001</v>
      </c>
      <c r="R529" s="9"/>
      <c r="S529" s="11"/>
    </row>
    <row r="530" spans="1:19" ht="15.75">
      <c r="A530" s="13">
        <v>57284</v>
      </c>
      <c r="B530" s="8">
        <f>CHOOSE( CONTROL!$C$33, 14.3727, 14.3716) * CHOOSE(CONTROL!$C$16, $D$11, 100%, $F$11)</f>
        <v>14.3727</v>
      </c>
      <c r="C530" s="8">
        <f>CHOOSE( CONTROL!$C$33, 14.3781, 14.377) * CHOOSE(CONTROL!$C$16, $D$11, 100%, $F$11)</f>
        <v>14.3781</v>
      </c>
      <c r="D530" s="8">
        <f>CHOOSE( CONTROL!$C$33, 14.4025, 14.4014) * CHOOSE( CONTROL!$C$16, $D$11, 100%, $F$11)</f>
        <v>14.4025</v>
      </c>
      <c r="E530" s="12">
        <f>CHOOSE( CONTROL!$C$33, 14.3939, 14.3928) * CHOOSE( CONTROL!$C$16, $D$11, 100%, $F$11)</f>
        <v>14.3939</v>
      </c>
      <c r="F530" s="4">
        <f>CHOOSE( CONTROL!$C$33, 15.102, 15.1009) * CHOOSE(CONTROL!$C$16, $D$11, 100%, $F$11)</f>
        <v>15.102</v>
      </c>
      <c r="G530" s="8">
        <f>CHOOSE( CONTROL!$C$33, 14.2354, 14.2343) * CHOOSE( CONTROL!$C$16, $D$11, 100%, $F$11)</f>
        <v>14.2354</v>
      </c>
      <c r="H530" s="4">
        <f>CHOOSE( CONTROL!$C$33, 15.1718, 15.1707) * CHOOSE(CONTROL!$C$16, $D$11, 100%, $F$11)</f>
        <v>15.171799999999999</v>
      </c>
      <c r="I530" s="8">
        <f>CHOOSE( CONTROL!$C$33, 14.0729, 14.0718) * CHOOSE(CONTROL!$C$16, $D$11, 100%, $F$11)</f>
        <v>14.072900000000001</v>
      </c>
      <c r="J530" s="4">
        <f>CHOOSE( CONTROL!$C$33, 13.9396, 13.9385) * CHOOSE(CONTROL!$C$16, $D$11, 100%, $F$11)</f>
        <v>13.9396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1.2927</v>
      </c>
      <c r="Q530" s="9">
        <v>19.688099999999999</v>
      </c>
      <c r="R530" s="9"/>
      <c r="S530" s="11"/>
    </row>
    <row r="531" spans="1:19" ht="15.75">
      <c r="A531" s="13">
        <v>57314</v>
      </c>
      <c r="B531" s="8">
        <f>CHOOSE( CONTROL!$C$33, 15.4999, 15.4988) * CHOOSE(CONTROL!$C$16, $D$11, 100%, $F$11)</f>
        <v>15.4999</v>
      </c>
      <c r="C531" s="8">
        <f>CHOOSE( CONTROL!$C$33, 15.505, 15.5039) * CHOOSE(CONTROL!$C$16, $D$11, 100%, $F$11)</f>
        <v>15.505000000000001</v>
      </c>
      <c r="D531" s="8">
        <f>CHOOSE( CONTROL!$C$33, 15.4954, 15.4943) * CHOOSE( CONTROL!$C$16, $D$11, 100%, $F$11)</f>
        <v>15.4954</v>
      </c>
      <c r="E531" s="12">
        <f>CHOOSE( CONTROL!$C$33, 15.4984, 15.4973) * CHOOSE( CONTROL!$C$16, $D$11, 100%, $F$11)</f>
        <v>15.4984</v>
      </c>
      <c r="F531" s="4">
        <f>CHOOSE( CONTROL!$C$33, 16.16, 16.1589) * CHOOSE(CONTROL!$C$16, $D$11, 100%, $F$11)</f>
        <v>16.16</v>
      </c>
      <c r="G531" s="8">
        <f>CHOOSE( CONTROL!$C$33, 15.3363, 15.3352) * CHOOSE( CONTROL!$C$16, $D$11, 100%, $F$11)</f>
        <v>15.3363</v>
      </c>
      <c r="H531" s="4">
        <f>CHOOSE( CONTROL!$C$33, 16.2174, 16.2163) * CHOOSE(CONTROL!$C$16, $D$11, 100%, $F$11)</f>
        <v>16.217400000000001</v>
      </c>
      <c r="I531" s="8">
        <f>CHOOSE( CONTROL!$C$33, 15.2271, 15.226) * CHOOSE(CONTROL!$C$16, $D$11, 100%, $F$11)</f>
        <v>15.2271</v>
      </c>
      <c r="J531" s="4">
        <f>CHOOSE( CONTROL!$C$33, 15.0339, 15.0328) * CHOOSE(CONTROL!$C$16, $D$11, 100%, $F$11)</f>
        <v>15.033899999999999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57345</v>
      </c>
      <c r="B532" s="8">
        <f>CHOOSE( CONTROL!$C$33, 15.4717, 15.4706) * CHOOSE(CONTROL!$C$16, $D$11, 100%, $F$11)</f>
        <v>15.4717</v>
      </c>
      <c r="C532" s="8">
        <f>CHOOSE( CONTROL!$C$33, 15.4768, 15.4757) * CHOOSE(CONTROL!$C$16, $D$11, 100%, $F$11)</f>
        <v>15.476800000000001</v>
      </c>
      <c r="D532" s="8">
        <f>CHOOSE( CONTROL!$C$33, 15.4686, 15.4675) * CHOOSE( CONTROL!$C$16, $D$11, 100%, $F$11)</f>
        <v>15.4686</v>
      </c>
      <c r="E532" s="12">
        <f>CHOOSE( CONTROL!$C$33, 15.4711, 15.47) * CHOOSE( CONTROL!$C$16, $D$11, 100%, $F$11)</f>
        <v>15.4711</v>
      </c>
      <c r="F532" s="4">
        <f>CHOOSE( CONTROL!$C$33, 16.1318, 16.1308) * CHOOSE(CONTROL!$C$16, $D$11, 100%, $F$11)</f>
        <v>16.131799999999998</v>
      </c>
      <c r="G532" s="8">
        <f>CHOOSE( CONTROL!$C$33, 15.3095, 15.3084) * CHOOSE( CONTROL!$C$16, $D$11, 100%, $F$11)</f>
        <v>15.3095</v>
      </c>
      <c r="H532" s="4">
        <f>CHOOSE( CONTROL!$C$33, 16.1896, 16.1885) * CHOOSE(CONTROL!$C$16, $D$11, 100%, $F$11)</f>
        <v>16.189599999999999</v>
      </c>
      <c r="I532" s="8">
        <f>CHOOSE( CONTROL!$C$33, 15.2042, 15.2031) * CHOOSE(CONTROL!$C$16, $D$11, 100%, $F$11)</f>
        <v>15.2042</v>
      </c>
      <c r="J532" s="4">
        <f>CHOOSE( CONTROL!$C$33, 15.0066, 15.0055) * CHOOSE(CONTROL!$C$16, $D$11, 100%, $F$11)</f>
        <v>15.006600000000001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57376</v>
      </c>
      <c r="B533" s="8">
        <f>CHOOSE( CONTROL!$C$33, 15.9278, 15.9267) * CHOOSE(CONTROL!$C$16, $D$11, 100%, $F$11)</f>
        <v>15.9278</v>
      </c>
      <c r="C533" s="8">
        <f>CHOOSE( CONTROL!$C$33, 15.9329, 15.9318) * CHOOSE(CONTROL!$C$16, $D$11, 100%, $F$11)</f>
        <v>15.9329</v>
      </c>
      <c r="D533" s="8">
        <f>CHOOSE( CONTROL!$C$33, 15.9355, 15.9344) * CHOOSE( CONTROL!$C$16, $D$11, 100%, $F$11)</f>
        <v>15.935499999999999</v>
      </c>
      <c r="E533" s="12">
        <f>CHOOSE( CONTROL!$C$33, 15.934, 15.9329) * CHOOSE( CONTROL!$C$16, $D$11, 100%, $F$11)</f>
        <v>15.933999999999999</v>
      </c>
      <c r="F533" s="4">
        <f>CHOOSE( CONTROL!$C$33, 16.5879, 16.5868) * CHOOSE(CONTROL!$C$16, $D$11, 100%, $F$11)</f>
        <v>16.587900000000001</v>
      </c>
      <c r="G533" s="8">
        <f>CHOOSE( CONTROL!$C$33, 15.763, 15.762) * CHOOSE( CONTROL!$C$16, $D$11, 100%, $F$11)</f>
        <v>15.763</v>
      </c>
      <c r="H533" s="4">
        <f>CHOOSE( CONTROL!$C$33, 16.6403, 16.6392) * CHOOSE(CONTROL!$C$16, $D$11, 100%, $F$11)</f>
        <v>16.6403</v>
      </c>
      <c r="I533" s="8">
        <f>CHOOSE( CONTROL!$C$33, 15.6185, 15.6174) * CHOOSE(CONTROL!$C$16, $D$11, 100%, $F$11)</f>
        <v>15.618499999999999</v>
      </c>
      <c r="J533" s="4">
        <f>CHOOSE( CONTROL!$C$33, 15.4492, 15.4481) * CHOOSE(CONTROL!$C$16, $D$11, 100%, $F$11)</f>
        <v>15.449199999999999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57404</v>
      </c>
      <c r="B534" s="8">
        <f>CHOOSE( CONTROL!$C$33, 14.8987, 14.8977) * CHOOSE(CONTROL!$C$16, $D$11, 100%, $F$11)</f>
        <v>14.8987</v>
      </c>
      <c r="C534" s="8">
        <f>CHOOSE( CONTROL!$C$33, 14.9038, 14.9027) * CHOOSE(CONTROL!$C$16, $D$11, 100%, $F$11)</f>
        <v>14.9038</v>
      </c>
      <c r="D534" s="8">
        <f>CHOOSE( CONTROL!$C$33, 14.9064, 14.9053) * CHOOSE( CONTROL!$C$16, $D$11, 100%, $F$11)</f>
        <v>14.9064</v>
      </c>
      <c r="E534" s="12">
        <f>CHOOSE( CONTROL!$C$33, 14.9049, 14.9038) * CHOOSE( CONTROL!$C$16, $D$11, 100%, $F$11)</f>
        <v>14.9049</v>
      </c>
      <c r="F534" s="4">
        <f>CHOOSE( CONTROL!$C$33, 15.5589, 15.5578) * CHOOSE(CONTROL!$C$16, $D$11, 100%, $F$11)</f>
        <v>15.5589</v>
      </c>
      <c r="G534" s="8">
        <f>CHOOSE( CONTROL!$C$33, 14.746, 14.7449) * CHOOSE( CONTROL!$C$16, $D$11, 100%, $F$11)</f>
        <v>14.746</v>
      </c>
      <c r="H534" s="4">
        <f>CHOOSE( CONTROL!$C$33, 15.6233, 15.6222) * CHOOSE(CONTROL!$C$16, $D$11, 100%, $F$11)</f>
        <v>15.6233</v>
      </c>
      <c r="I534" s="8">
        <f>CHOOSE( CONTROL!$C$33, 14.619, 14.618) * CHOOSE(CONTROL!$C$16, $D$11, 100%, $F$11)</f>
        <v>14.619</v>
      </c>
      <c r="J534" s="4">
        <f>CHOOSE( CONTROL!$C$33, 14.4505, 14.4494) * CHOOSE(CONTROL!$C$16, $D$11, 100%, $F$11)</f>
        <v>14.4505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57435</v>
      </c>
      <c r="B535" s="8">
        <f>CHOOSE( CONTROL!$C$33, 14.5818, 14.5807) * CHOOSE(CONTROL!$C$16, $D$11, 100%, $F$11)</f>
        <v>14.581799999999999</v>
      </c>
      <c r="C535" s="8">
        <f>CHOOSE( CONTROL!$C$33, 14.5869, 14.5858) * CHOOSE(CONTROL!$C$16, $D$11, 100%, $F$11)</f>
        <v>14.5869</v>
      </c>
      <c r="D535" s="8">
        <f>CHOOSE( CONTROL!$C$33, 14.5887, 14.5877) * CHOOSE( CONTROL!$C$16, $D$11, 100%, $F$11)</f>
        <v>14.588699999999999</v>
      </c>
      <c r="E535" s="12">
        <f>CHOOSE( CONTROL!$C$33, 14.5875, 14.5865) * CHOOSE( CONTROL!$C$16, $D$11, 100%, $F$11)</f>
        <v>14.5875</v>
      </c>
      <c r="F535" s="4">
        <f>CHOOSE( CONTROL!$C$33, 15.2419, 15.2408) * CHOOSE(CONTROL!$C$16, $D$11, 100%, $F$11)</f>
        <v>15.241899999999999</v>
      </c>
      <c r="G535" s="8">
        <f>CHOOSE( CONTROL!$C$33, 14.4322, 14.4312) * CHOOSE( CONTROL!$C$16, $D$11, 100%, $F$11)</f>
        <v>14.4322</v>
      </c>
      <c r="H535" s="4">
        <f>CHOOSE( CONTROL!$C$33, 15.3101, 15.309) * CHOOSE(CONTROL!$C$16, $D$11, 100%, $F$11)</f>
        <v>15.3101</v>
      </c>
      <c r="I535" s="8">
        <f>CHOOSE( CONTROL!$C$33, 14.3092, 14.3081) * CHOOSE(CONTROL!$C$16, $D$11, 100%, $F$11)</f>
        <v>14.309200000000001</v>
      </c>
      <c r="J535" s="4">
        <f>CHOOSE( CONTROL!$C$33, 14.1429, 14.1418) * CHOOSE(CONTROL!$C$16, $D$11, 100%, $F$11)</f>
        <v>14.142899999999999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57465</v>
      </c>
      <c r="B536" s="8">
        <f>CHOOSE( CONTROL!$C$33, 14.804, 14.8029) * CHOOSE(CONTROL!$C$16, $D$11, 100%, $F$11)</f>
        <v>14.804</v>
      </c>
      <c r="C536" s="8">
        <f>CHOOSE( CONTROL!$C$33, 14.8085, 14.8075) * CHOOSE(CONTROL!$C$16, $D$11, 100%, $F$11)</f>
        <v>14.8085</v>
      </c>
      <c r="D536" s="8">
        <f>CHOOSE( CONTROL!$C$33, 14.8329, 14.8318) * CHOOSE( CONTROL!$C$16, $D$11, 100%, $F$11)</f>
        <v>14.8329</v>
      </c>
      <c r="E536" s="12">
        <f>CHOOSE( CONTROL!$C$33, 14.8243, 14.8232) * CHOOSE( CONTROL!$C$16, $D$11, 100%, $F$11)</f>
        <v>14.824299999999999</v>
      </c>
      <c r="F536" s="4">
        <f>CHOOSE( CONTROL!$C$33, 15.5329, 15.5319) * CHOOSE(CONTROL!$C$16, $D$11, 100%, $F$11)</f>
        <v>15.5329</v>
      </c>
      <c r="G536" s="8">
        <f>CHOOSE( CONTROL!$C$33, 14.6608, 14.6598) * CHOOSE( CONTROL!$C$16, $D$11, 100%, $F$11)</f>
        <v>14.6608</v>
      </c>
      <c r="H536" s="4">
        <f>CHOOSE( CONTROL!$C$33, 15.5977, 15.5966) * CHOOSE(CONTROL!$C$16, $D$11, 100%, $F$11)</f>
        <v>15.5977</v>
      </c>
      <c r="I536" s="8">
        <f>CHOOSE( CONTROL!$C$33, 14.4895, 14.4884) * CHOOSE(CONTROL!$C$16, $D$11, 100%, $F$11)</f>
        <v>14.4895</v>
      </c>
      <c r="J536" s="4">
        <f>CHOOSE( CONTROL!$C$33, 14.3578, 14.3568) * CHOOSE(CONTROL!$C$16, $D$11, 100%, $F$11)</f>
        <v>14.357799999999999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1.2509999999999999</v>
      </c>
      <c r="Q536" s="9">
        <v>19.053000000000001</v>
      </c>
      <c r="R536" s="9"/>
      <c r="S536" s="11"/>
    </row>
    <row r="537" spans="1:19" ht="15.75">
      <c r="A537" s="13">
        <v>57496</v>
      </c>
      <c r="B537" s="8">
        <f>CHOOSE( CONTROL!$C$33, 15.2001, 15.1985) * CHOOSE(CONTROL!$C$16, $D$11, 100%, $F$11)</f>
        <v>15.200100000000001</v>
      </c>
      <c r="C537" s="8">
        <f>CHOOSE( CONTROL!$C$33, 15.2081, 15.2065) * CHOOSE(CONTROL!$C$16, $D$11, 100%, $F$11)</f>
        <v>15.2081</v>
      </c>
      <c r="D537" s="8">
        <f>CHOOSE( CONTROL!$C$33, 15.2264, 15.2248) * CHOOSE( CONTROL!$C$16, $D$11, 100%, $F$11)</f>
        <v>15.2264</v>
      </c>
      <c r="E537" s="12">
        <f>CHOOSE( CONTROL!$C$33, 15.2185, 15.2169) * CHOOSE( CONTROL!$C$16, $D$11, 100%, $F$11)</f>
        <v>15.218500000000001</v>
      </c>
      <c r="F537" s="4">
        <f>CHOOSE( CONTROL!$C$33, 15.9277, 15.926) * CHOOSE(CONTROL!$C$16, $D$11, 100%, $F$11)</f>
        <v>15.9277</v>
      </c>
      <c r="G537" s="8">
        <f>CHOOSE( CONTROL!$C$33, 15.0508, 15.0492) * CHOOSE( CONTROL!$C$16, $D$11, 100%, $F$11)</f>
        <v>15.050800000000001</v>
      </c>
      <c r="H537" s="4">
        <f>CHOOSE( CONTROL!$C$33, 15.9878, 15.9862) * CHOOSE(CONTROL!$C$16, $D$11, 100%, $F$11)</f>
        <v>15.9878</v>
      </c>
      <c r="I537" s="8">
        <f>CHOOSE( CONTROL!$C$33, 14.8721, 14.8705) * CHOOSE(CONTROL!$C$16, $D$11, 100%, $F$11)</f>
        <v>14.8721</v>
      </c>
      <c r="J537" s="4">
        <f>CHOOSE( CONTROL!$C$33, 14.7409, 14.7393) * CHOOSE(CONTROL!$C$16, $D$11, 100%, $F$11)</f>
        <v>14.7409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1.2927</v>
      </c>
      <c r="Q537" s="9">
        <v>19.688099999999999</v>
      </c>
      <c r="R537" s="9"/>
      <c r="S537" s="11"/>
    </row>
    <row r="538" spans="1:19" ht="15.75">
      <c r="A538" s="13">
        <v>57526</v>
      </c>
      <c r="B538" s="8">
        <f>CHOOSE( CONTROL!$C$33, 14.956, 14.9543) * CHOOSE(CONTROL!$C$16, $D$11, 100%, $F$11)</f>
        <v>14.956</v>
      </c>
      <c r="C538" s="8">
        <f>CHOOSE( CONTROL!$C$33, 14.9639, 14.9623) * CHOOSE(CONTROL!$C$16, $D$11, 100%, $F$11)</f>
        <v>14.963900000000001</v>
      </c>
      <c r="D538" s="8">
        <f>CHOOSE( CONTROL!$C$33, 14.9825, 14.9808) * CHOOSE( CONTROL!$C$16, $D$11, 100%, $F$11)</f>
        <v>14.9825</v>
      </c>
      <c r="E538" s="12">
        <f>CHOOSE( CONTROL!$C$33, 14.9746, 14.9729) * CHOOSE( CONTROL!$C$16, $D$11, 100%, $F$11)</f>
        <v>14.974600000000001</v>
      </c>
      <c r="F538" s="4">
        <f>CHOOSE( CONTROL!$C$33, 15.6835, 15.6819) * CHOOSE(CONTROL!$C$16, $D$11, 100%, $F$11)</f>
        <v>15.6835</v>
      </c>
      <c r="G538" s="8">
        <f>CHOOSE( CONTROL!$C$33, 14.8097, 14.8081) * CHOOSE( CONTROL!$C$16, $D$11, 100%, $F$11)</f>
        <v>14.809699999999999</v>
      </c>
      <c r="H538" s="4">
        <f>CHOOSE( CONTROL!$C$33, 15.7465, 15.7449) * CHOOSE(CONTROL!$C$16, $D$11, 100%, $F$11)</f>
        <v>15.746499999999999</v>
      </c>
      <c r="I538" s="8">
        <f>CHOOSE( CONTROL!$C$33, 14.6359, 14.6343) * CHOOSE(CONTROL!$C$16, $D$11, 100%, $F$11)</f>
        <v>14.635899999999999</v>
      </c>
      <c r="J538" s="4">
        <f>CHOOSE( CONTROL!$C$33, 14.5039, 14.5023) * CHOOSE(CONTROL!$C$16, $D$11, 100%, $F$11)</f>
        <v>14.5039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1.2509999999999999</v>
      </c>
      <c r="Q538" s="9">
        <v>19.053000000000001</v>
      </c>
      <c r="R538" s="9"/>
      <c r="S538" s="11"/>
    </row>
    <row r="539" spans="1:19" ht="15.75">
      <c r="A539" s="13">
        <v>57557</v>
      </c>
      <c r="B539" s="8">
        <f>CHOOSE( CONTROL!$C$33, 15.599, 15.5973) * CHOOSE(CONTROL!$C$16, $D$11, 100%, $F$11)</f>
        <v>15.599</v>
      </c>
      <c r="C539" s="8">
        <f>CHOOSE( CONTROL!$C$33, 15.6069, 15.6053) * CHOOSE(CONTROL!$C$16, $D$11, 100%, $F$11)</f>
        <v>15.6069</v>
      </c>
      <c r="D539" s="8">
        <f>CHOOSE( CONTROL!$C$33, 15.6257, 15.6241) * CHOOSE( CONTROL!$C$16, $D$11, 100%, $F$11)</f>
        <v>15.6257</v>
      </c>
      <c r="E539" s="12">
        <f>CHOOSE( CONTROL!$C$33, 15.6177, 15.6161) * CHOOSE( CONTROL!$C$16, $D$11, 100%, $F$11)</f>
        <v>15.617699999999999</v>
      </c>
      <c r="F539" s="4">
        <f>CHOOSE( CONTROL!$C$33, 16.3265, 16.3249) * CHOOSE(CONTROL!$C$16, $D$11, 100%, $F$11)</f>
        <v>16.326499999999999</v>
      </c>
      <c r="G539" s="8">
        <f>CHOOSE( CONTROL!$C$33, 15.4454, 15.4438) * CHOOSE( CONTROL!$C$16, $D$11, 100%, $F$11)</f>
        <v>15.445399999999999</v>
      </c>
      <c r="H539" s="4">
        <f>CHOOSE( CONTROL!$C$33, 16.382, 16.3803) * CHOOSE(CONTROL!$C$16, $D$11, 100%, $F$11)</f>
        <v>16.382000000000001</v>
      </c>
      <c r="I539" s="8">
        <f>CHOOSE( CONTROL!$C$33, 15.2611, 15.2595) * CHOOSE(CONTROL!$C$16, $D$11, 100%, $F$11)</f>
        <v>15.261100000000001</v>
      </c>
      <c r="J539" s="4">
        <f>CHOOSE( CONTROL!$C$33, 15.128, 15.1264) * CHOOSE(CONTROL!$C$16, $D$11, 100%, $F$11)</f>
        <v>15.128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1.2927</v>
      </c>
      <c r="Q539" s="9">
        <v>19.688099999999999</v>
      </c>
      <c r="R539" s="9"/>
      <c r="S539" s="11"/>
    </row>
    <row r="540" spans="1:19" ht="15.75">
      <c r="A540" s="13">
        <v>57588</v>
      </c>
      <c r="B540" s="8">
        <f>CHOOSE( CONTROL!$C$33, 14.3958, 14.3942) * CHOOSE(CONTROL!$C$16, $D$11, 100%, $F$11)</f>
        <v>14.395799999999999</v>
      </c>
      <c r="C540" s="8">
        <f>CHOOSE( CONTROL!$C$33, 14.4038, 14.4022) * CHOOSE(CONTROL!$C$16, $D$11, 100%, $F$11)</f>
        <v>14.4038</v>
      </c>
      <c r="D540" s="8">
        <f>CHOOSE( CONTROL!$C$33, 14.4227, 14.421) * CHOOSE( CONTROL!$C$16, $D$11, 100%, $F$11)</f>
        <v>14.422700000000001</v>
      </c>
      <c r="E540" s="12">
        <f>CHOOSE( CONTROL!$C$33, 14.4146, 14.413) * CHOOSE( CONTROL!$C$16, $D$11, 100%, $F$11)</f>
        <v>14.4146</v>
      </c>
      <c r="F540" s="4">
        <f>CHOOSE( CONTROL!$C$33, 15.1234, 15.1217) * CHOOSE(CONTROL!$C$16, $D$11, 100%, $F$11)</f>
        <v>15.1234</v>
      </c>
      <c r="G540" s="8">
        <f>CHOOSE( CONTROL!$C$33, 14.2564, 14.2548) * CHOOSE( CONTROL!$C$16, $D$11, 100%, $F$11)</f>
        <v>14.256399999999999</v>
      </c>
      <c r="H540" s="4">
        <f>CHOOSE( CONTROL!$C$33, 15.1929, 15.1913) * CHOOSE(CONTROL!$C$16, $D$11, 100%, $F$11)</f>
        <v>15.1929</v>
      </c>
      <c r="I540" s="8">
        <f>CHOOSE( CONTROL!$C$33, 14.0931, 14.0915) * CHOOSE(CONTROL!$C$16, $D$11, 100%, $F$11)</f>
        <v>14.0931</v>
      </c>
      <c r="J540" s="4">
        <f>CHOOSE( CONTROL!$C$33, 13.9603, 13.9587) * CHOOSE(CONTROL!$C$16, $D$11, 100%, $F$11)</f>
        <v>13.9603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1.2927</v>
      </c>
      <c r="Q540" s="9">
        <v>19.688099999999999</v>
      </c>
      <c r="R540" s="9"/>
      <c r="S540" s="11"/>
    </row>
    <row r="541" spans="1:19" ht="15.75">
      <c r="A541" s="13">
        <v>57618</v>
      </c>
      <c r="B541" s="8">
        <f>CHOOSE( CONTROL!$C$33, 14.0946, 14.0929) * CHOOSE(CONTROL!$C$16, $D$11, 100%, $F$11)</f>
        <v>14.0946</v>
      </c>
      <c r="C541" s="8">
        <f>CHOOSE( CONTROL!$C$33, 14.1025, 14.1009) * CHOOSE(CONTROL!$C$16, $D$11, 100%, $F$11)</f>
        <v>14.102499999999999</v>
      </c>
      <c r="D541" s="8">
        <f>CHOOSE( CONTROL!$C$33, 14.1213, 14.1196) * CHOOSE( CONTROL!$C$16, $D$11, 100%, $F$11)</f>
        <v>14.1213</v>
      </c>
      <c r="E541" s="12">
        <f>CHOOSE( CONTROL!$C$33, 14.1133, 14.1116) * CHOOSE( CONTROL!$C$16, $D$11, 100%, $F$11)</f>
        <v>14.113300000000001</v>
      </c>
      <c r="F541" s="4">
        <f>CHOOSE( CONTROL!$C$33, 14.8221, 14.8204) * CHOOSE(CONTROL!$C$16, $D$11, 100%, $F$11)</f>
        <v>14.822100000000001</v>
      </c>
      <c r="G541" s="8">
        <f>CHOOSE( CONTROL!$C$33, 13.9586, 13.9569) * CHOOSE( CONTROL!$C$16, $D$11, 100%, $F$11)</f>
        <v>13.958600000000001</v>
      </c>
      <c r="H541" s="4">
        <f>CHOOSE( CONTROL!$C$33, 14.8952, 14.8935) * CHOOSE(CONTROL!$C$16, $D$11, 100%, $F$11)</f>
        <v>14.895200000000001</v>
      </c>
      <c r="I541" s="8">
        <f>CHOOSE( CONTROL!$C$33, 13.8002, 13.7986) * CHOOSE(CONTROL!$C$16, $D$11, 100%, $F$11)</f>
        <v>13.8002</v>
      </c>
      <c r="J541" s="4">
        <f>CHOOSE( CONTROL!$C$33, 13.6679, 13.6663) * CHOOSE(CONTROL!$C$16, $D$11, 100%, $F$11)</f>
        <v>13.667899999999999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1.2509999999999999</v>
      </c>
      <c r="Q541" s="9">
        <v>19.053000000000001</v>
      </c>
      <c r="R541" s="9"/>
      <c r="S541" s="11"/>
    </row>
    <row r="542" spans="1:19" ht="15.75">
      <c r="A542" s="13">
        <v>57649</v>
      </c>
      <c r="B542" s="8">
        <f>CHOOSE( CONTROL!$C$33, 14.7178, 14.7167) * CHOOSE(CONTROL!$C$16, $D$11, 100%, $F$11)</f>
        <v>14.7178</v>
      </c>
      <c r="C542" s="8">
        <f>CHOOSE( CONTROL!$C$33, 14.7231, 14.7221) * CHOOSE(CONTROL!$C$16, $D$11, 100%, $F$11)</f>
        <v>14.723100000000001</v>
      </c>
      <c r="D542" s="8">
        <f>CHOOSE( CONTROL!$C$33, 14.7476, 14.7465) * CHOOSE( CONTROL!$C$16, $D$11, 100%, $F$11)</f>
        <v>14.7476</v>
      </c>
      <c r="E542" s="12">
        <f>CHOOSE( CONTROL!$C$33, 14.7389, 14.7379) * CHOOSE( CONTROL!$C$16, $D$11, 100%, $F$11)</f>
        <v>14.738899999999999</v>
      </c>
      <c r="F542" s="4">
        <f>CHOOSE( CONTROL!$C$33, 15.4471, 15.446) * CHOOSE(CONTROL!$C$16, $D$11, 100%, $F$11)</f>
        <v>15.447100000000001</v>
      </c>
      <c r="G542" s="8">
        <f>CHOOSE( CONTROL!$C$33, 14.5764, 14.5753) * CHOOSE( CONTROL!$C$16, $D$11, 100%, $F$11)</f>
        <v>14.5764</v>
      </c>
      <c r="H542" s="4">
        <f>CHOOSE( CONTROL!$C$33, 15.5128, 15.5118) * CHOOSE(CONTROL!$C$16, $D$11, 100%, $F$11)</f>
        <v>15.5128</v>
      </c>
      <c r="I542" s="8">
        <f>CHOOSE( CONTROL!$C$33, 14.408, 14.4069) * CHOOSE(CONTROL!$C$16, $D$11, 100%, $F$11)</f>
        <v>14.407999999999999</v>
      </c>
      <c r="J542" s="4">
        <f>CHOOSE( CONTROL!$C$33, 14.2745, 14.2734) * CHOOSE(CONTROL!$C$16, $D$11, 100%, $F$11)</f>
        <v>14.2745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1.2927</v>
      </c>
      <c r="Q542" s="9">
        <v>19.688099999999999</v>
      </c>
      <c r="R542" s="9"/>
      <c r="S542" s="11"/>
    </row>
    <row r="543" spans="1:19" ht="15.75">
      <c r="A543" s="13">
        <v>57679</v>
      </c>
      <c r="B543" s="8">
        <f>CHOOSE( CONTROL!$C$33, 15.8721, 15.871) * CHOOSE(CONTROL!$C$16, $D$11, 100%, $F$11)</f>
        <v>15.8721</v>
      </c>
      <c r="C543" s="8">
        <f>CHOOSE( CONTROL!$C$33, 15.8771, 15.8761) * CHOOSE(CONTROL!$C$16, $D$11, 100%, $F$11)</f>
        <v>15.8771</v>
      </c>
      <c r="D543" s="8">
        <f>CHOOSE( CONTROL!$C$33, 15.8675, 15.8665) * CHOOSE( CONTROL!$C$16, $D$11, 100%, $F$11)</f>
        <v>15.8675</v>
      </c>
      <c r="E543" s="12">
        <f>CHOOSE( CONTROL!$C$33, 15.8705, 15.8695) * CHOOSE( CONTROL!$C$16, $D$11, 100%, $F$11)</f>
        <v>15.8705</v>
      </c>
      <c r="F543" s="4">
        <f>CHOOSE( CONTROL!$C$33, 16.5322, 16.5311) * CHOOSE(CONTROL!$C$16, $D$11, 100%, $F$11)</f>
        <v>16.5322</v>
      </c>
      <c r="G543" s="8">
        <f>CHOOSE( CONTROL!$C$33, 15.7041, 15.703) * CHOOSE( CONTROL!$C$16, $D$11, 100%, $F$11)</f>
        <v>15.7041</v>
      </c>
      <c r="H543" s="4">
        <f>CHOOSE( CONTROL!$C$33, 16.5852, 16.5842) * CHOOSE(CONTROL!$C$16, $D$11, 100%, $F$11)</f>
        <v>16.5852</v>
      </c>
      <c r="I543" s="8">
        <f>CHOOSE( CONTROL!$C$33, 15.5885, 15.5874) * CHOOSE(CONTROL!$C$16, $D$11, 100%, $F$11)</f>
        <v>15.5885</v>
      </c>
      <c r="J543" s="4">
        <f>CHOOSE( CONTROL!$C$33, 15.3951, 15.394) * CHOOSE(CONTROL!$C$16, $D$11, 100%, $F$11)</f>
        <v>15.395099999999999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57710</v>
      </c>
      <c r="B544" s="8">
        <f>CHOOSE( CONTROL!$C$33, 15.8432, 15.8421) * CHOOSE(CONTROL!$C$16, $D$11, 100%, $F$11)</f>
        <v>15.8432</v>
      </c>
      <c r="C544" s="8">
        <f>CHOOSE( CONTROL!$C$33, 15.8483, 15.8472) * CHOOSE(CONTROL!$C$16, $D$11, 100%, $F$11)</f>
        <v>15.8483</v>
      </c>
      <c r="D544" s="8">
        <f>CHOOSE( CONTROL!$C$33, 15.8401, 15.839) * CHOOSE( CONTROL!$C$16, $D$11, 100%, $F$11)</f>
        <v>15.8401</v>
      </c>
      <c r="E544" s="12">
        <f>CHOOSE( CONTROL!$C$33, 15.8426, 15.8415) * CHOOSE( CONTROL!$C$16, $D$11, 100%, $F$11)</f>
        <v>15.842599999999999</v>
      </c>
      <c r="F544" s="4">
        <f>CHOOSE( CONTROL!$C$33, 16.5034, 16.5023) * CHOOSE(CONTROL!$C$16, $D$11, 100%, $F$11)</f>
        <v>16.503399999999999</v>
      </c>
      <c r="G544" s="8">
        <f>CHOOSE( CONTROL!$C$33, 15.6766, 15.6756) * CHOOSE( CONTROL!$C$16, $D$11, 100%, $F$11)</f>
        <v>15.676600000000001</v>
      </c>
      <c r="H544" s="4">
        <f>CHOOSE( CONTROL!$C$33, 16.5567, 16.5557) * CHOOSE(CONTROL!$C$16, $D$11, 100%, $F$11)</f>
        <v>16.556699999999999</v>
      </c>
      <c r="I544" s="8">
        <f>CHOOSE( CONTROL!$C$33, 15.5649, 15.5638) * CHOOSE(CONTROL!$C$16, $D$11, 100%, $F$11)</f>
        <v>15.5649</v>
      </c>
      <c r="J544" s="4">
        <f>CHOOSE( CONTROL!$C$33, 15.3671, 15.366) * CHOOSE(CONTROL!$C$16, $D$11, 100%, $F$11)</f>
        <v>15.367100000000001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57741</v>
      </c>
      <c r="B545" s="8">
        <f>CHOOSE( CONTROL!$C$33, 16.3102, 16.3092) * CHOOSE(CONTROL!$C$16, $D$11, 100%, $F$11)</f>
        <v>16.310199999999998</v>
      </c>
      <c r="C545" s="8">
        <f>CHOOSE( CONTROL!$C$33, 16.3153, 16.3142) * CHOOSE(CONTROL!$C$16, $D$11, 100%, $F$11)</f>
        <v>16.315300000000001</v>
      </c>
      <c r="D545" s="8">
        <f>CHOOSE( CONTROL!$C$33, 16.318, 16.3169) * CHOOSE( CONTROL!$C$16, $D$11, 100%, $F$11)</f>
        <v>16.318000000000001</v>
      </c>
      <c r="E545" s="12">
        <f>CHOOSE( CONTROL!$C$33, 16.3165, 16.3154) * CHOOSE( CONTROL!$C$16, $D$11, 100%, $F$11)</f>
        <v>16.316500000000001</v>
      </c>
      <c r="F545" s="4">
        <f>CHOOSE( CONTROL!$C$33, 16.9704, 16.9693) * CHOOSE(CONTROL!$C$16, $D$11, 100%, $F$11)</f>
        <v>16.970400000000001</v>
      </c>
      <c r="G545" s="8">
        <f>CHOOSE( CONTROL!$C$33, 16.141, 16.1399) * CHOOSE( CONTROL!$C$16, $D$11, 100%, $F$11)</f>
        <v>16.140999999999998</v>
      </c>
      <c r="H545" s="4">
        <f>CHOOSE( CONTROL!$C$33, 17.0183, 17.0172) * CHOOSE(CONTROL!$C$16, $D$11, 100%, $F$11)</f>
        <v>17.0183</v>
      </c>
      <c r="I545" s="8">
        <f>CHOOSE( CONTROL!$C$33, 15.9899, 15.9888) * CHOOSE(CONTROL!$C$16, $D$11, 100%, $F$11)</f>
        <v>15.9899</v>
      </c>
      <c r="J545" s="4">
        <f>CHOOSE( CONTROL!$C$33, 15.8203, 15.8193) * CHOOSE(CONTROL!$C$16, $D$11, 100%, $F$11)</f>
        <v>15.8203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57769</v>
      </c>
      <c r="B546" s="8">
        <f>CHOOSE( CONTROL!$C$33, 15.2565, 15.2554) * CHOOSE(CONTROL!$C$16, $D$11, 100%, $F$11)</f>
        <v>15.256500000000001</v>
      </c>
      <c r="C546" s="8">
        <f>CHOOSE( CONTROL!$C$33, 15.2615, 15.2605) * CHOOSE(CONTROL!$C$16, $D$11, 100%, $F$11)</f>
        <v>15.2615</v>
      </c>
      <c r="D546" s="8">
        <f>CHOOSE( CONTROL!$C$33, 15.2641, 15.263) * CHOOSE( CONTROL!$C$16, $D$11, 100%, $F$11)</f>
        <v>15.264099999999999</v>
      </c>
      <c r="E546" s="12">
        <f>CHOOSE( CONTROL!$C$33, 15.2626, 15.2615) * CHOOSE( CONTROL!$C$16, $D$11, 100%, $F$11)</f>
        <v>15.262600000000001</v>
      </c>
      <c r="F546" s="4">
        <f>CHOOSE( CONTROL!$C$33, 15.9166, 15.9155) * CHOOSE(CONTROL!$C$16, $D$11, 100%, $F$11)</f>
        <v>15.916600000000001</v>
      </c>
      <c r="G546" s="8">
        <f>CHOOSE( CONTROL!$C$33, 15.0995, 15.0984) * CHOOSE( CONTROL!$C$16, $D$11, 100%, $F$11)</f>
        <v>15.099500000000001</v>
      </c>
      <c r="H546" s="4">
        <f>CHOOSE( CONTROL!$C$33, 15.9768, 15.9758) * CHOOSE(CONTROL!$C$16, $D$11, 100%, $F$11)</f>
        <v>15.976800000000001</v>
      </c>
      <c r="I546" s="8">
        <f>CHOOSE( CONTROL!$C$33, 14.9664, 14.9653) * CHOOSE(CONTROL!$C$16, $D$11, 100%, $F$11)</f>
        <v>14.9664</v>
      </c>
      <c r="J546" s="4">
        <f>CHOOSE( CONTROL!$C$33, 14.7977, 14.7966) * CHOOSE(CONTROL!$C$16, $D$11, 100%, $F$11)</f>
        <v>14.797700000000001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57800</v>
      </c>
      <c r="B547" s="8">
        <f>CHOOSE( CONTROL!$C$33, 14.9319, 14.9308) * CHOOSE(CONTROL!$C$16, $D$11, 100%, $F$11)</f>
        <v>14.931900000000001</v>
      </c>
      <c r="C547" s="8">
        <f>CHOOSE( CONTROL!$C$33, 14.937, 14.9359) * CHOOSE(CONTROL!$C$16, $D$11, 100%, $F$11)</f>
        <v>14.936999999999999</v>
      </c>
      <c r="D547" s="8">
        <f>CHOOSE( CONTROL!$C$33, 14.9389, 14.9378) * CHOOSE( CONTROL!$C$16, $D$11, 100%, $F$11)</f>
        <v>14.9389</v>
      </c>
      <c r="E547" s="12">
        <f>CHOOSE( CONTROL!$C$33, 14.9377, 14.9366) * CHOOSE( CONTROL!$C$16, $D$11, 100%, $F$11)</f>
        <v>14.9377</v>
      </c>
      <c r="F547" s="4">
        <f>CHOOSE( CONTROL!$C$33, 15.592, 15.591) * CHOOSE(CONTROL!$C$16, $D$11, 100%, $F$11)</f>
        <v>15.592000000000001</v>
      </c>
      <c r="G547" s="8">
        <f>CHOOSE( CONTROL!$C$33, 14.7783, 14.7772) * CHOOSE( CONTROL!$C$16, $D$11, 100%, $F$11)</f>
        <v>14.7783</v>
      </c>
      <c r="H547" s="4">
        <f>CHOOSE( CONTROL!$C$33, 15.6561, 15.655) * CHOOSE(CONTROL!$C$16, $D$11, 100%, $F$11)</f>
        <v>15.6561</v>
      </c>
      <c r="I547" s="8">
        <f>CHOOSE( CONTROL!$C$33, 14.6491, 14.6481) * CHOOSE(CONTROL!$C$16, $D$11, 100%, $F$11)</f>
        <v>14.649100000000001</v>
      </c>
      <c r="J547" s="4">
        <f>CHOOSE( CONTROL!$C$33, 14.4827, 14.4816) * CHOOSE(CONTROL!$C$16, $D$11, 100%, $F$11)</f>
        <v>14.482699999999999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57830</v>
      </c>
      <c r="B548" s="8">
        <f>CHOOSE( CONTROL!$C$33, 15.1595, 15.1584) * CHOOSE(CONTROL!$C$16, $D$11, 100%, $F$11)</f>
        <v>15.1595</v>
      </c>
      <c r="C548" s="8">
        <f>CHOOSE( CONTROL!$C$33, 15.164, 15.1629) * CHOOSE(CONTROL!$C$16, $D$11, 100%, $F$11)</f>
        <v>15.164</v>
      </c>
      <c r="D548" s="8">
        <f>CHOOSE( CONTROL!$C$33, 15.1883, 15.1873) * CHOOSE( CONTROL!$C$16, $D$11, 100%, $F$11)</f>
        <v>15.1883</v>
      </c>
      <c r="E548" s="12">
        <f>CHOOSE( CONTROL!$C$33, 15.1798, 15.1787) * CHOOSE( CONTROL!$C$16, $D$11, 100%, $F$11)</f>
        <v>15.1798</v>
      </c>
      <c r="F548" s="4">
        <f>CHOOSE( CONTROL!$C$33, 15.8884, 15.8873) * CHOOSE(CONTROL!$C$16, $D$11, 100%, $F$11)</f>
        <v>15.888400000000001</v>
      </c>
      <c r="G548" s="8">
        <f>CHOOSE( CONTROL!$C$33, 15.0121, 15.011) * CHOOSE( CONTROL!$C$16, $D$11, 100%, $F$11)</f>
        <v>15.0121</v>
      </c>
      <c r="H548" s="4">
        <f>CHOOSE( CONTROL!$C$33, 15.949, 15.9479) * CHOOSE(CONTROL!$C$16, $D$11, 100%, $F$11)</f>
        <v>15.949</v>
      </c>
      <c r="I548" s="8">
        <f>CHOOSE( CONTROL!$C$33, 14.8346, 14.8335) * CHOOSE(CONTROL!$C$16, $D$11, 100%, $F$11)</f>
        <v>14.8346</v>
      </c>
      <c r="J548" s="4">
        <f>CHOOSE( CONTROL!$C$33, 14.7028, 14.7017) * CHOOSE(CONTROL!$C$16, $D$11, 100%, $F$11)</f>
        <v>14.7028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1.2509999999999999</v>
      </c>
      <c r="Q548" s="9">
        <v>19.053000000000001</v>
      </c>
      <c r="R548" s="9"/>
      <c r="S548" s="11"/>
    </row>
    <row r="549" spans="1:19" ht="15.75">
      <c r="A549" s="13">
        <v>57861</v>
      </c>
      <c r="B549" s="8">
        <f>CHOOSE( CONTROL!$C$33, 15.5651, 15.5634) * CHOOSE(CONTROL!$C$16, $D$11, 100%, $F$11)</f>
        <v>15.565099999999999</v>
      </c>
      <c r="C549" s="8">
        <f>CHOOSE( CONTROL!$C$33, 15.573, 15.5714) * CHOOSE(CONTROL!$C$16, $D$11, 100%, $F$11)</f>
        <v>15.573</v>
      </c>
      <c r="D549" s="8">
        <f>CHOOSE( CONTROL!$C$33, 15.5913, 15.5897) * CHOOSE( CONTROL!$C$16, $D$11, 100%, $F$11)</f>
        <v>15.5913</v>
      </c>
      <c r="E549" s="12">
        <f>CHOOSE( CONTROL!$C$33, 15.5835, 15.5818) * CHOOSE( CONTROL!$C$16, $D$11, 100%, $F$11)</f>
        <v>15.583500000000001</v>
      </c>
      <c r="F549" s="4">
        <f>CHOOSE( CONTROL!$C$33, 16.2926, 16.2909) * CHOOSE(CONTROL!$C$16, $D$11, 100%, $F$11)</f>
        <v>16.2926</v>
      </c>
      <c r="G549" s="8">
        <f>CHOOSE( CONTROL!$C$33, 15.4115, 15.4098) * CHOOSE( CONTROL!$C$16, $D$11, 100%, $F$11)</f>
        <v>15.4115</v>
      </c>
      <c r="H549" s="4">
        <f>CHOOSE( CONTROL!$C$33, 16.3484, 16.3468) * CHOOSE(CONTROL!$C$16, $D$11, 100%, $F$11)</f>
        <v>16.348400000000002</v>
      </c>
      <c r="I549" s="8">
        <f>CHOOSE( CONTROL!$C$33, 15.2265, 15.2249) * CHOOSE(CONTROL!$C$16, $D$11, 100%, $F$11)</f>
        <v>15.2265</v>
      </c>
      <c r="J549" s="4">
        <f>CHOOSE( CONTROL!$C$33, 15.0951, 15.0935) * CHOOSE(CONTROL!$C$16, $D$11, 100%, $F$11)</f>
        <v>15.0951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1.2927</v>
      </c>
      <c r="Q549" s="9">
        <v>19.688099999999999</v>
      </c>
      <c r="R549" s="9"/>
      <c r="S549" s="11"/>
    </row>
    <row r="550" spans="1:19" ht="15.75">
      <c r="A550" s="13">
        <v>57891</v>
      </c>
      <c r="B550" s="8">
        <f>CHOOSE( CONTROL!$C$33, 15.315, 15.3134) * CHOOSE(CONTROL!$C$16, $D$11, 100%, $F$11)</f>
        <v>15.315</v>
      </c>
      <c r="C550" s="8">
        <f>CHOOSE( CONTROL!$C$33, 15.323, 15.3213) * CHOOSE(CONTROL!$C$16, $D$11, 100%, $F$11)</f>
        <v>15.323</v>
      </c>
      <c r="D550" s="8">
        <f>CHOOSE( CONTROL!$C$33, 15.3415, 15.3399) * CHOOSE( CONTROL!$C$16, $D$11, 100%, $F$11)</f>
        <v>15.3415</v>
      </c>
      <c r="E550" s="12">
        <f>CHOOSE( CONTROL!$C$33, 15.3336, 15.332) * CHOOSE( CONTROL!$C$16, $D$11, 100%, $F$11)</f>
        <v>15.333600000000001</v>
      </c>
      <c r="F550" s="4">
        <f>CHOOSE( CONTROL!$C$33, 16.0426, 16.0409) * CHOOSE(CONTROL!$C$16, $D$11, 100%, $F$11)</f>
        <v>16.0426</v>
      </c>
      <c r="G550" s="8">
        <f>CHOOSE( CONTROL!$C$33, 15.1646, 15.1629) * CHOOSE( CONTROL!$C$16, $D$11, 100%, $F$11)</f>
        <v>15.1646</v>
      </c>
      <c r="H550" s="4">
        <f>CHOOSE( CONTROL!$C$33, 16.1013, 16.0997) * CHOOSE(CONTROL!$C$16, $D$11, 100%, $F$11)</f>
        <v>16.101299999999998</v>
      </c>
      <c r="I550" s="8">
        <f>CHOOSE( CONTROL!$C$33, 14.9845, 14.9829) * CHOOSE(CONTROL!$C$16, $D$11, 100%, $F$11)</f>
        <v>14.984500000000001</v>
      </c>
      <c r="J550" s="4">
        <f>CHOOSE( CONTROL!$C$33, 14.8524, 14.8508) * CHOOSE(CONTROL!$C$16, $D$11, 100%, $F$11)</f>
        <v>14.852399999999999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1.2509999999999999</v>
      </c>
      <c r="Q550" s="9">
        <v>19.053000000000001</v>
      </c>
      <c r="R550" s="9"/>
      <c r="S550" s="11"/>
    </row>
    <row r="551" spans="1:19" ht="15.75">
      <c r="A551" s="13">
        <v>57922</v>
      </c>
      <c r="B551" s="8">
        <f>CHOOSE( CONTROL!$C$33, 15.9735, 15.9718) * CHOOSE(CONTROL!$C$16, $D$11, 100%, $F$11)</f>
        <v>15.9735</v>
      </c>
      <c r="C551" s="8">
        <f>CHOOSE( CONTROL!$C$33, 15.9814, 15.9798) * CHOOSE(CONTROL!$C$16, $D$11, 100%, $F$11)</f>
        <v>15.981400000000001</v>
      </c>
      <c r="D551" s="8">
        <f>CHOOSE( CONTROL!$C$33, 16.0002, 15.9986) * CHOOSE( CONTROL!$C$16, $D$11, 100%, $F$11)</f>
        <v>16.0002</v>
      </c>
      <c r="E551" s="12">
        <f>CHOOSE( CONTROL!$C$33, 15.9922, 15.9906) * CHOOSE( CONTROL!$C$16, $D$11, 100%, $F$11)</f>
        <v>15.9922</v>
      </c>
      <c r="F551" s="4">
        <f>CHOOSE( CONTROL!$C$33, 16.701, 16.6994) * CHOOSE(CONTROL!$C$16, $D$11, 100%, $F$11)</f>
        <v>16.701000000000001</v>
      </c>
      <c r="G551" s="8">
        <f>CHOOSE( CONTROL!$C$33, 15.8155, 15.8139) * CHOOSE( CONTROL!$C$16, $D$11, 100%, $F$11)</f>
        <v>15.8155</v>
      </c>
      <c r="H551" s="4">
        <f>CHOOSE( CONTROL!$C$33, 16.7521, 16.7504) * CHOOSE(CONTROL!$C$16, $D$11, 100%, $F$11)</f>
        <v>16.752099999999999</v>
      </c>
      <c r="I551" s="8">
        <f>CHOOSE( CONTROL!$C$33, 15.6247, 15.6231) * CHOOSE(CONTROL!$C$16, $D$11, 100%, $F$11)</f>
        <v>15.624700000000001</v>
      </c>
      <c r="J551" s="4">
        <f>CHOOSE( CONTROL!$C$33, 15.4914, 15.4898) * CHOOSE(CONTROL!$C$16, $D$11, 100%, $F$11)</f>
        <v>15.491400000000001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1.2927</v>
      </c>
      <c r="Q551" s="9">
        <v>19.688099999999999</v>
      </c>
      <c r="R551" s="9"/>
      <c r="S551" s="11"/>
    </row>
    <row r="552" spans="1:19" ht="15.75">
      <c r="A552" s="13">
        <v>57953</v>
      </c>
      <c r="B552" s="8">
        <f>CHOOSE( CONTROL!$C$33, 14.7414, 14.7398) * CHOOSE(CONTROL!$C$16, $D$11, 100%, $F$11)</f>
        <v>14.741400000000001</v>
      </c>
      <c r="C552" s="8">
        <f>CHOOSE( CONTROL!$C$33, 14.7494, 14.7477) * CHOOSE(CONTROL!$C$16, $D$11, 100%, $F$11)</f>
        <v>14.7494</v>
      </c>
      <c r="D552" s="8">
        <f>CHOOSE( CONTROL!$C$33, 14.7683, 14.7666) * CHOOSE( CONTROL!$C$16, $D$11, 100%, $F$11)</f>
        <v>14.7683</v>
      </c>
      <c r="E552" s="12">
        <f>CHOOSE( CONTROL!$C$33, 14.7602, 14.7585) * CHOOSE( CONTROL!$C$16, $D$11, 100%, $F$11)</f>
        <v>14.760199999999999</v>
      </c>
      <c r="F552" s="4">
        <f>CHOOSE( CONTROL!$C$33, 15.469, 15.4673) * CHOOSE(CONTROL!$C$16, $D$11, 100%, $F$11)</f>
        <v>15.468999999999999</v>
      </c>
      <c r="G552" s="8">
        <f>CHOOSE( CONTROL!$C$33, 14.598, 14.5963) * CHOOSE( CONTROL!$C$16, $D$11, 100%, $F$11)</f>
        <v>14.598000000000001</v>
      </c>
      <c r="H552" s="4">
        <f>CHOOSE( CONTROL!$C$33, 15.5345, 15.5328) * CHOOSE(CONTROL!$C$16, $D$11, 100%, $F$11)</f>
        <v>15.5345</v>
      </c>
      <c r="I552" s="8">
        <f>CHOOSE( CONTROL!$C$33, 14.4287, 14.4271) * CHOOSE(CONTROL!$C$16, $D$11, 100%, $F$11)</f>
        <v>14.428699999999999</v>
      </c>
      <c r="J552" s="4">
        <f>CHOOSE( CONTROL!$C$33, 14.2957, 14.2941) * CHOOSE(CONTROL!$C$16, $D$11, 100%, $F$11)</f>
        <v>14.2957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1.2927</v>
      </c>
      <c r="Q552" s="9">
        <v>19.688099999999999</v>
      </c>
      <c r="R552" s="9"/>
      <c r="S552" s="11"/>
    </row>
    <row r="553" spans="1:19" ht="15.75">
      <c r="A553" s="13">
        <v>57983</v>
      </c>
      <c r="B553" s="8">
        <f>CHOOSE( CONTROL!$C$33, 14.4329, 14.4312) * CHOOSE(CONTROL!$C$16, $D$11, 100%, $F$11)</f>
        <v>14.4329</v>
      </c>
      <c r="C553" s="8">
        <f>CHOOSE( CONTROL!$C$33, 14.4409, 14.4392) * CHOOSE(CONTROL!$C$16, $D$11, 100%, $F$11)</f>
        <v>14.440899999999999</v>
      </c>
      <c r="D553" s="8">
        <f>CHOOSE( CONTROL!$C$33, 14.4596, 14.458) * CHOOSE( CONTROL!$C$16, $D$11, 100%, $F$11)</f>
        <v>14.4596</v>
      </c>
      <c r="E553" s="12">
        <f>CHOOSE( CONTROL!$C$33, 14.4516, 14.45) * CHOOSE( CONTROL!$C$16, $D$11, 100%, $F$11)</f>
        <v>14.451599999999999</v>
      </c>
      <c r="F553" s="4">
        <f>CHOOSE( CONTROL!$C$33, 15.1605, 15.1588) * CHOOSE(CONTROL!$C$16, $D$11, 100%, $F$11)</f>
        <v>15.160500000000001</v>
      </c>
      <c r="G553" s="8">
        <f>CHOOSE( CONTROL!$C$33, 14.293, 14.2913) * CHOOSE( CONTROL!$C$16, $D$11, 100%, $F$11)</f>
        <v>14.292999999999999</v>
      </c>
      <c r="H553" s="4">
        <f>CHOOSE( CONTROL!$C$33, 15.2296, 15.2279) * CHOOSE(CONTROL!$C$16, $D$11, 100%, $F$11)</f>
        <v>15.2296</v>
      </c>
      <c r="I553" s="8">
        <f>CHOOSE( CONTROL!$C$33, 14.1287, 14.1271) * CHOOSE(CONTROL!$C$16, $D$11, 100%, $F$11)</f>
        <v>14.1287</v>
      </c>
      <c r="J553" s="4">
        <f>CHOOSE( CONTROL!$C$33, 13.9963, 13.9947) * CHOOSE(CONTROL!$C$16, $D$11, 100%, $F$11)</f>
        <v>13.9963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1.2509999999999999</v>
      </c>
      <c r="Q553" s="9">
        <v>19.053000000000001</v>
      </c>
      <c r="R553" s="9"/>
      <c r="S553" s="11"/>
    </row>
    <row r="554" spans="1:19" ht="15.75">
      <c r="A554" s="13">
        <v>58014</v>
      </c>
      <c r="B554" s="8">
        <f>CHOOSE( CONTROL!$C$33, 15.0712, 15.0701) * CHOOSE(CONTROL!$C$16, $D$11, 100%, $F$11)</f>
        <v>15.071199999999999</v>
      </c>
      <c r="C554" s="8">
        <f>CHOOSE( CONTROL!$C$33, 15.0765, 15.0754) * CHOOSE(CONTROL!$C$16, $D$11, 100%, $F$11)</f>
        <v>15.076499999999999</v>
      </c>
      <c r="D554" s="8">
        <f>CHOOSE( CONTROL!$C$33, 15.1009, 15.0999) * CHOOSE( CONTROL!$C$16, $D$11, 100%, $F$11)</f>
        <v>15.100899999999999</v>
      </c>
      <c r="E554" s="12">
        <f>CHOOSE( CONTROL!$C$33, 15.0923, 15.0912) * CHOOSE( CONTROL!$C$16, $D$11, 100%, $F$11)</f>
        <v>15.0923</v>
      </c>
      <c r="F554" s="4">
        <f>CHOOSE( CONTROL!$C$33, 15.8005, 15.7994) * CHOOSE(CONTROL!$C$16, $D$11, 100%, $F$11)</f>
        <v>15.8005</v>
      </c>
      <c r="G554" s="8">
        <f>CHOOSE( CONTROL!$C$33, 14.9257, 14.9246) * CHOOSE( CONTROL!$C$16, $D$11, 100%, $F$11)</f>
        <v>14.925700000000001</v>
      </c>
      <c r="H554" s="4">
        <f>CHOOSE( CONTROL!$C$33, 15.8621, 15.861) * CHOOSE(CONTROL!$C$16, $D$11, 100%, $F$11)</f>
        <v>15.8621</v>
      </c>
      <c r="I554" s="8">
        <f>CHOOSE( CONTROL!$C$33, 14.7511, 14.75) * CHOOSE(CONTROL!$C$16, $D$11, 100%, $F$11)</f>
        <v>14.751099999999999</v>
      </c>
      <c r="J554" s="4">
        <f>CHOOSE( CONTROL!$C$33, 14.6175, 14.6164) * CHOOSE(CONTROL!$C$16, $D$11, 100%, $F$11)</f>
        <v>14.6175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1.2927</v>
      </c>
      <c r="Q554" s="9">
        <v>19.688099999999999</v>
      </c>
      <c r="R554" s="9"/>
      <c r="S554" s="11"/>
    </row>
    <row r="555" spans="1:19" ht="15.75">
      <c r="A555" s="13">
        <v>58044</v>
      </c>
      <c r="B555" s="8">
        <f>CHOOSE( CONTROL!$C$33, 16.2532, 16.2521) * CHOOSE(CONTROL!$C$16, $D$11, 100%, $F$11)</f>
        <v>16.2532</v>
      </c>
      <c r="C555" s="8">
        <f>CHOOSE( CONTROL!$C$33, 16.2583, 16.2572) * CHOOSE(CONTROL!$C$16, $D$11, 100%, $F$11)</f>
        <v>16.258299999999998</v>
      </c>
      <c r="D555" s="8">
        <f>CHOOSE( CONTROL!$C$33, 16.2487, 16.2476) * CHOOSE( CONTROL!$C$16, $D$11, 100%, $F$11)</f>
        <v>16.248699999999999</v>
      </c>
      <c r="E555" s="12">
        <f>CHOOSE( CONTROL!$C$33, 16.2517, 16.2506) * CHOOSE( CONTROL!$C$16, $D$11, 100%, $F$11)</f>
        <v>16.2517</v>
      </c>
      <c r="F555" s="4">
        <f>CHOOSE( CONTROL!$C$33, 16.9133, 16.9122) * CHOOSE(CONTROL!$C$16, $D$11, 100%, $F$11)</f>
        <v>16.9133</v>
      </c>
      <c r="G555" s="8">
        <f>CHOOSE( CONTROL!$C$33, 16.0808, 16.0797) * CHOOSE( CONTROL!$C$16, $D$11, 100%, $F$11)</f>
        <v>16.0808</v>
      </c>
      <c r="H555" s="4">
        <f>CHOOSE( CONTROL!$C$33, 16.9619, 16.9608) * CHOOSE(CONTROL!$C$16, $D$11, 100%, $F$11)</f>
        <v>16.9619</v>
      </c>
      <c r="I555" s="8">
        <f>CHOOSE( CONTROL!$C$33, 15.9585, 15.9575) * CHOOSE(CONTROL!$C$16, $D$11, 100%, $F$11)</f>
        <v>15.958500000000001</v>
      </c>
      <c r="J555" s="4">
        <f>CHOOSE( CONTROL!$C$33, 15.765, 15.7639) * CHOOSE(CONTROL!$C$16, $D$11, 100%, $F$11)</f>
        <v>15.765000000000001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58075</v>
      </c>
      <c r="B556" s="8">
        <f>CHOOSE( CONTROL!$C$33, 16.2237, 16.2226) * CHOOSE(CONTROL!$C$16, $D$11, 100%, $F$11)</f>
        <v>16.223700000000001</v>
      </c>
      <c r="C556" s="8">
        <f>CHOOSE( CONTROL!$C$33, 16.2287, 16.2276) * CHOOSE(CONTROL!$C$16, $D$11, 100%, $F$11)</f>
        <v>16.2287</v>
      </c>
      <c r="D556" s="8">
        <f>CHOOSE( CONTROL!$C$33, 16.2205, 16.2195) * CHOOSE( CONTROL!$C$16, $D$11, 100%, $F$11)</f>
        <v>16.220500000000001</v>
      </c>
      <c r="E556" s="12">
        <f>CHOOSE( CONTROL!$C$33, 16.223, 16.2219) * CHOOSE( CONTROL!$C$16, $D$11, 100%, $F$11)</f>
        <v>16.222999999999999</v>
      </c>
      <c r="F556" s="4">
        <f>CHOOSE( CONTROL!$C$33, 16.8838, 16.8827) * CHOOSE(CONTROL!$C$16, $D$11, 100%, $F$11)</f>
        <v>16.883800000000001</v>
      </c>
      <c r="G556" s="8">
        <f>CHOOSE( CONTROL!$C$33, 16.0526, 16.0515) * CHOOSE( CONTROL!$C$16, $D$11, 100%, $F$11)</f>
        <v>16.052600000000002</v>
      </c>
      <c r="H556" s="4">
        <f>CHOOSE( CONTROL!$C$33, 16.9327, 16.9316) * CHOOSE(CONTROL!$C$16, $D$11, 100%, $F$11)</f>
        <v>16.932700000000001</v>
      </c>
      <c r="I556" s="8">
        <f>CHOOSE( CONTROL!$C$33, 15.9343, 15.9332) * CHOOSE(CONTROL!$C$16, $D$11, 100%, $F$11)</f>
        <v>15.9343</v>
      </c>
      <c r="J556" s="4">
        <f>CHOOSE( CONTROL!$C$33, 15.7363, 15.7353) * CHOOSE(CONTROL!$C$16, $D$11, 100%, $F$11)</f>
        <v>15.7363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58106</v>
      </c>
      <c r="B557" s="8">
        <f>CHOOSE( CONTROL!$C$33, 16.7019, 16.7008) * CHOOSE(CONTROL!$C$16, $D$11, 100%, $F$11)</f>
        <v>16.701899999999998</v>
      </c>
      <c r="C557" s="8">
        <f>CHOOSE( CONTROL!$C$33, 16.707, 16.7059) * CHOOSE(CONTROL!$C$16, $D$11, 100%, $F$11)</f>
        <v>16.707000000000001</v>
      </c>
      <c r="D557" s="8">
        <f>CHOOSE( CONTROL!$C$33, 16.7096, 16.7085) * CHOOSE( CONTROL!$C$16, $D$11, 100%, $F$11)</f>
        <v>16.709599999999998</v>
      </c>
      <c r="E557" s="12">
        <f>CHOOSE( CONTROL!$C$33, 16.7081, 16.707) * CHOOSE( CONTROL!$C$16, $D$11, 100%, $F$11)</f>
        <v>16.708100000000002</v>
      </c>
      <c r="F557" s="4">
        <f>CHOOSE( CONTROL!$C$33, 17.362, 17.3609) * CHOOSE(CONTROL!$C$16, $D$11, 100%, $F$11)</f>
        <v>17.361999999999998</v>
      </c>
      <c r="G557" s="8">
        <f>CHOOSE( CONTROL!$C$33, 16.5281, 16.527) * CHOOSE( CONTROL!$C$16, $D$11, 100%, $F$11)</f>
        <v>16.528099999999998</v>
      </c>
      <c r="H557" s="4">
        <f>CHOOSE( CONTROL!$C$33, 17.4053, 17.4043) * CHOOSE(CONTROL!$C$16, $D$11, 100%, $F$11)</f>
        <v>17.4053</v>
      </c>
      <c r="I557" s="8">
        <f>CHOOSE( CONTROL!$C$33, 16.3701, 16.3691) * CHOOSE(CONTROL!$C$16, $D$11, 100%, $F$11)</f>
        <v>16.370100000000001</v>
      </c>
      <c r="J557" s="4">
        <f>CHOOSE( CONTROL!$C$33, 16.2004, 16.1994) * CHOOSE(CONTROL!$C$16, $D$11, 100%, $F$11)</f>
        <v>16.200399999999998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58134</v>
      </c>
      <c r="B558" s="8">
        <f>CHOOSE( CONTROL!$C$33, 15.6228, 15.6217) * CHOOSE(CONTROL!$C$16, $D$11, 100%, $F$11)</f>
        <v>15.6228</v>
      </c>
      <c r="C558" s="8">
        <f>CHOOSE( CONTROL!$C$33, 15.6279, 15.6268) * CHOOSE(CONTROL!$C$16, $D$11, 100%, $F$11)</f>
        <v>15.6279</v>
      </c>
      <c r="D558" s="8">
        <f>CHOOSE( CONTROL!$C$33, 15.6304, 15.6294) * CHOOSE( CONTROL!$C$16, $D$11, 100%, $F$11)</f>
        <v>15.6304</v>
      </c>
      <c r="E558" s="12">
        <f>CHOOSE( CONTROL!$C$33, 15.6289, 15.6279) * CHOOSE( CONTROL!$C$16, $D$11, 100%, $F$11)</f>
        <v>15.6289</v>
      </c>
      <c r="F558" s="4">
        <f>CHOOSE( CONTROL!$C$33, 16.2829, 16.2818) * CHOOSE(CONTROL!$C$16, $D$11, 100%, $F$11)</f>
        <v>16.282900000000001</v>
      </c>
      <c r="G558" s="8">
        <f>CHOOSE( CONTROL!$C$33, 15.4616, 15.4605) * CHOOSE( CONTROL!$C$16, $D$11, 100%, $F$11)</f>
        <v>15.461600000000001</v>
      </c>
      <c r="H558" s="4">
        <f>CHOOSE( CONTROL!$C$33, 16.3389, 16.3378) * CHOOSE(CONTROL!$C$16, $D$11, 100%, $F$11)</f>
        <v>16.338899999999999</v>
      </c>
      <c r="I558" s="8">
        <f>CHOOSE( CONTROL!$C$33, 15.3221, 15.321) * CHOOSE(CONTROL!$C$16, $D$11, 100%, $F$11)</f>
        <v>15.322100000000001</v>
      </c>
      <c r="J558" s="4">
        <f>CHOOSE( CONTROL!$C$33, 15.1532, 15.1521) * CHOOSE(CONTROL!$C$16, $D$11, 100%, $F$11)</f>
        <v>15.1532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58165</v>
      </c>
      <c r="B559" s="8">
        <f>CHOOSE( CONTROL!$C$33, 15.2904, 15.2894) * CHOOSE(CONTROL!$C$16, $D$11, 100%, $F$11)</f>
        <v>15.2904</v>
      </c>
      <c r="C559" s="8">
        <f>CHOOSE( CONTROL!$C$33, 15.2955, 15.2944) * CHOOSE(CONTROL!$C$16, $D$11, 100%, $F$11)</f>
        <v>15.295500000000001</v>
      </c>
      <c r="D559" s="8">
        <f>CHOOSE( CONTROL!$C$33, 15.2974, 15.2963) * CHOOSE( CONTROL!$C$16, $D$11, 100%, $F$11)</f>
        <v>15.2974</v>
      </c>
      <c r="E559" s="12">
        <f>CHOOSE( CONTROL!$C$33, 15.2962, 15.2951) * CHOOSE( CONTROL!$C$16, $D$11, 100%, $F$11)</f>
        <v>15.296200000000001</v>
      </c>
      <c r="F559" s="4">
        <f>CHOOSE( CONTROL!$C$33, 15.9506, 15.9495) * CHOOSE(CONTROL!$C$16, $D$11, 100%, $F$11)</f>
        <v>15.9506</v>
      </c>
      <c r="G559" s="8">
        <f>CHOOSE( CONTROL!$C$33, 15.1326, 15.1315) * CHOOSE( CONTROL!$C$16, $D$11, 100%, $F$11)</f>
        <v>15.1326</v>
      </c>
      <c r="H559" s="4">
        <f>CHOOSE( CONTROL!$C$33, 16.0104, 16.0094) * CHOOSE(CONTROL!$C$16, $D$11, 100%, $F$11)</f>
        <v>16.010400000000001</v>
      </c>
      <c r="I559" s="8">
        <f>CHOOSE( CONTROL!$C$33, 14.9972, 14.9962) * CHOOSE(CONTROL!$C$16, $D$11, 100%, $F$11)</f>
        <v>14.997199999999999</v>
      </c>
      <c r="J559" s="4">
        <f>CHOOSE( CONTROL!$C$33, 14.8306, 14.8296) * CHOOSE(CONTROL!$C$16, $D$11, 100%, $F$11)</f>
        <v>14.8306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58195</v>
      </c>
      <c r="B560" s="8">
        <f>CHOOSE( CONTROL!$C$33, 15.5235, 15.5224) * CHOOSE(CONTROL!$C$16, $D$11, 100%, $F$11)</f>
        <v>15.5235</v>
      </c>
      <c r="C560" s="8">
        <f>CHOOSE( CONTROL!$C$33, 15.528, 15.5269) * CHOOSE(CONTROL!$C$16, $D$11, 100%, $F$11)</f>
        <v>15.528</v>
      </c>
      <c r="D560" s="8">
        <f>CHOOSE( CONTROL!$C$33, 15.5523, 15.5512) * CHOOSE( CONTROL!$C$16, $D$11, 100%, $F$11)</f>
        <v>15.552300000000001</v>
      </c>
      <c r="E560" s="12">
        <f>CHOOSE( CONTROL!$C$33, 15.5438, 15.5427) * CHOOSE( CONTROL!$C$16, $D$11, 100%, $F$11)</f>
        <v>15.543799999999999</v>
      </c>
      <c r="F560" s="4">
        <f>CHOOSE( CONTROL!$C$33, 16.2524, 16.2513) * CHOOSE(CONTROL!$C$16, $D$11, 100%, $F$11)</f>
        <v>16.252400000000002</v>
      </c>
      <c r="G560" s="8">
        <f>CHOOSE( CONTROL!$C$33, 15.3718, 15.3708) * CHOOSE( CONTROL!$C$16, $D$11, 100%, $F$11)</f>
        <v>15.3718</v>
      </c>
      <c r="H560" s="4">
        <f>CHOOSE( CONTROL!$C$33, 16.3087, 16.3076) * CHOOSE(CONTROL!$C$16, $D$11, 100%, $F$11)</f>
        <v>16.308700000000002</v>
      </c>
      <c r="I560" s="8">
        <f>CHOOSE( CONTROL!$C$33, 15.188, 15.187) * CHOOSE(CONTROL!$C$16, $D$11, 100%, $F$11)</f>
        <v>15.188000000000001</v>
      </c>
      <c r="J560" s="4">
        <f>CHOOSE( CONTROL!$C$33, 15.056, 15.055) * CHOOSE(CONTROL!$C$16, $D$11, 100%, $F$11)</f>
        <v>15.055999999999999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1.2509999999999999</v>
      </c>
      <c r="Q560" s="9">
        <v>19.053000000000001</v>
      </c>
      <c r="R560" s="9"/>
      <c r="S560" s="11"/>
    </row>
    <row r="561" spans="1:19" ht="15.75">
      <c r="A561" s="13">
        <v>58226</v>
      </c>
      <c r="B561" s="8">
        <f>CHOOSE( CONTROL!$C$33, 15.9387, 15.9371) * CHOOSE(CONTROL!$C$16, $D$11, 100%, $F$11)</f>
        <v>15.938700000000001</v>
      </c>
      <c r="C561" s="8">
        <f>CHOOSE( CONTROL!$C$33, 15.9467, 15.9451) * CHOOSE(CONTROL!$C$16, $D$11, 100%, $F$11)</f>
        <v>15.9467</v>
      </c>
      <c r="D561" s="8">
        <f>CHOOSE( CONTROL!$C$33, 15.965, 15.9634) * CHOOSE( CONTROL!$C$16, $D$11, 100%, $F$11)</f>
        <v>15.965</v>
      </c>
      <c r="E561" s="12">
        <f>CHOOSE( CONTROL!$C$33, 15.9571, 15.9555) * CHOOSE( CONTROL!$C$16, $D$11, 100%, $F$11)</f>
        <v>15.957100000000001</v>
      </c>
      <c r="F561" s="4">
        <f>CHOOSE( CONTROL!$C$33, 16.6663, 16.6646) * CHOOSE(CONTROL!$C$16, $D$11, 100%, $F$11)</f>
        <v>16.6663</v>
      </c>
      <c r="G561" s="8">
        <f>CHOOSE( CONTROL!$C$33, 15.7808, 15.7792) * CHOOSE( CONTROL!$C$16, $D$11, 100%, $F$11)</f>
        <v>15.780799999999999</v>
      </c>
      <c r="H561" s="4">
        <f>CHOOSE( CONTROL!$C$33, 16.7178, 16.7161) * CHOOSE(CONTROL!$C$16, $D$11, 100%, $F$11)</f>
        <v>16.7178</v>
      </c>
      <c r="I561" s="8">
        <f>CHOOSE( CONTROL!$C$33, 15.5893, 15.5877) * CHOOSE(CONTROL!$C$16, $D$11, 100%, $F$11)</f>
        <v>15.5893</v>
      </c>
      <c r="J561" s="4">
        <f>CHOOSE( CONTROL!$C$33, 15.4577, 15.4561) * CHOOSE(CONTROL!$C$16, $D$11, 100%, $F$11)</f>
        <v>15.457700000000001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1.2927</v>
      </c>
      <c r="Q561" s="9">
        <v>19.688099999999999</v>
      </c>
      <c r="R561" s="9"/>
      <c r="S561" s="11"/>
    </row>
    <row r="562" spans="1:19" ht="15.75">
      <c r="A562" s="13">
        <v>58256</v>
      </c>
      <c r="B562" s="8">
        <f>CHOOSE( CONTROL!$C$33, 15.6827, 15.681) * CHOOSE(CONTROL!$C$16, $D$11, 100%, $F$11)</f>
        <v>15.682700000000001</v>
      </c>
      <c r="C562" s="8">
        <f>CHOOSE( CONTROL!$C$33, 15.6907, 15.689) * CHOOSE(CONTROL!$C$16, $D$11, 100%, $F$11)</f>
        <v>15.6907</v>
      </c>
      <c r="D562" s="8">
        <f>CHOOSE( CONTROL!$C$33, 15.7092, 15.7075) * CHOOSE( CONTROL!$C$16, $D$11, 100%, $F$11)</f>
        <v>15.709199999999999</v>
      </c>
      <c r="E562" s="12">
        <f>CHOOSE( CONTROL!$C$33, 15.7013, 15.6996) * CHOOSE( CONTROL!$C$16, $D$11, 100%, $F$11)</f>
        <v>15.7013</v>
      </c>
      <c r="F562" s="4">
        <f>CHOOSE( CONTROL!$C$33, 16.4102, 16.4086) * CHOOSE(CONTROL!$C$16, $D$11, 100%, $F$11)</f>
        <v>16.4102</v>
      </c>
      <c r="G562" s="8">
        <f>CHOOSE( CONTROL!$C$33, 15.5279, 15.5263) * CHOOSE( CONTROL!$C$16, $D$11, 100%, $F$11)</f>
        <v>15.527900000000001</v>
      </c>
      <c r="H562" s="4">
        <f>CHOOSE( CONTROL!$C$33, 16.4647, 16.4631) * CHOOSE(CONTROL!$C$16, $D$11, 100%, $F$11)</f>
        <v>16.464700000000001</v>
      </c>
      <c r="I562" s="8">
        <f>CHOOSE( CONTROL!$C$33, 15.3415, 15.3399) * CHOOSE(CONTROL!$C$16, $D$11, 100%, $F$11)</f>
        <v>15.3415</v>
      </c>
      <c r="J562" s="4">
        <f>CHOOSE( CONTROL!$C$33, 15.2092, 15.2076) * CHOOSE(CONTROL!$C$16, $D$11, 100%, $F$11)</f>
        <v>15.209199999999999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1.2509999999999999</v>
      </c>
      <c r="Q562" s="9">
        <v>19.053000000000001</v>
      </c>
      <c r="R562" s="9"/>
      <c r="S562" s="11"/>
    </row>
    <row r="563" spans="1:19" ht="15.75">
      <c r="A563" s="13">
        <v>58287</v>
      </c>
      <c r="B563" s="8">
        <f>CHOOSE( CONTROL!$C$33, 16.357, 16.3553) * CHOOSE(CONTROL!$C$16, $D$11, 100%, $F$11)</f>
        <v>16.356999999999999</v>
      </c>
      <c r="C563" s="8">
        <f>CHOOSE( CONTROL!$C$33, 16.3649, 16.3633) * CHOOSE(CONTROL!$C$16, $D$11, 100%, $F$11)</f>
        <v>16.364899999999999</v>
      </c>
      <c r="D563" s="8">
        <f>CHOOSE( CONTROL!$C$33, 16.3837, 16.3821) * CHOOSE( CONTROL!$C$16, $D$11, 100%, $F$11)</f>
        <v>16.383700000000001</v>
      </c>
      <c r="E563" s="12">
        <f>CHOOSE( CONTROL!$C$33, 16.3757, 16.3741) * CHOOSE( CONTROL!$C$16, $D$11, 100%, $F$11)</f>
        <v>16.375699999999998</v>
      </c>
      <c r="F563" s="4">
        <f>CHOOSE( CONTROL!$C$33, 17.0845, 17.0829) * CHOOSE(CONTROL!$C$16, $D$11, 100%, $F$11)</f>
        <v>17.084499999999998</v>
      </c>
      <c r="G563" s="8">
        <f>CHOOSE( CONTROL!$C$33, 16.1945, 16.1929) * CHOOSE( CONTROL!$C$16, $D$11, 100%, $F$11)</f>
        <v>16.194500000000001</v>
      </c>
      <c r="H563" s="4">
        <f>CHOOSE( CONTROL!$C$33, 17.1311, 17.1294) * CHOOSE(CONTROL!$C$16, $D$11, 100%, $F$11)</f>
        <v>17.1311</v>
      </c>
      <c r="I563" s="8">
        <f>CHOOSE( CONTROL!$C$33, 15.9971, 15.9955) * CHOOSE(CONTROL!$C$16, $D$11, 100%, $F$11)</f>
        <v>15.9971</v>
      </c>
      <c r="J563" s="4">
        <f>CHOOSE( CONTROL!$C$33, 15.8636, 15.862) * CHOOSE(CONTROL!$C$16, $D$11, 100%, $F$11)</f>
        <v>15.8636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1.2927</v>
      </c>
      <c r="Q563" s="9">
        <v>19.688099999999999</v>
      </c>
      <c r="R563" s="9"/>
      <c r="S563" s="11"/>
    </row>
    <row r="564" spans="1:19" ht="15.75">
      <c r="A564" s="13">
        <v>58318</v>
      </c>
      <c r="B564" s="8">
        <f>CHOOSE( CONTROL!$C$33, 15.0953, 15.0937) * CHOOSE(CONTROL!$C$16, $D$11, 100%, $F$11)</f>
        <v>15.0953</v>
      </c>
      <c r="C564" s="8">
        <f>CHOOSE( CONTROL!$C$33, 15.1033, 15.1016) * CHOOSE(CONTROL!$C$16, $D$11, 100%, $F$11)</f>
        <v>15.103300000000001</v>
      </c>
      <c r="D564" s="8">
        <f>CHOOSE( CONTROL!$C$33, 15.1222, 15.1205) * CHOOSE( CONTROL!$C$16, $D$11, 100%, $F$11)</f>
        <v>15.122199999999999</v>
      </c>
      <c r="E564" s="12">
        <f>CHOOSE( CONTROL!$C$33, 15.1141, 15.1124) * CHOOSE( CONTROL!$C$16, $D$11, 100%, $F$11)</f>
        <v>15.114100000000001</v>
      </c>
      <c r="F564" s="4">
        <f>CHOOSE( CONTROL!$C$33, 15.8229, 15.8212) * CHOOSE(CONTROL!$C$16, $D$11, 100%, $F$11)</f>
        <v>15.822900000000001</v>
      </c>
      <c r="G564" s="8">
        <f>CHOOSE( CONTROL!$C$33, 14.9477, 14.9461) * CHOOSE( CONTROL!$C$16, $D$11, 100%, $F$11)</f>
        <v>14.947699999999999</v>
      </c>
      <c r="H564" s="4">
        <f>CHOOSE( CONTROL!$C$33, 15.8842, 15.8826) * CHOOSE(CONTROL!$C$16, $D$11, 100%, $F$11)</f>
        <v>15.8842</v>
      </c>
      <c r="I564" s="8">
        <f>CHOOSE( CONTROL!$C$33, 14.7723, 14.7707) * CHOOSE(CONTROL!$C$16, $D$11, 100%, $F$11)</f>
        <v>14.7723</v>
      </c>
      <c r="J564" s="4">
        <f>CHOOSE( CONTROL!$C$33, 14.6392, 14.6376) * CHOOSE(CONTROL!$C$16, $D$11, 100%, $F$11)</f>
        <v>14.639200000000001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1.2927</v>
      </c>
      <c r="Q564" s="9">
        <v>19.688099999999999</v>
      </c>
      <c r="R564" s="9"/>
      <c r="S564" s="11"/>
    </row>
    <row r="565" spans="1:19" ht="15.75">
      <c r="A565" s="13">
        <v>58348</v>
      </c>
      <c r="B565" s="8">
        <f>CHOOSE( CONTROL!$C$33, 14.7794, 14.7777) * CHOOSE(CONTROL!$C$16, $D$11, 100%, $F$11)</f>
        <v>14.779400000000001</v>
      </c>
      <c r="C565" s="8">
        <f>CHOOSE( CONTROL!$C$33, 14.7874, 14.7857) * CHOOSE(CONTROL!$C$16, $D$11, 100%, $F$11)</f>
        <v>14.7874</v>
      </c>
      <c r="D565" s="8">
        <f>CHOOSE( CONTROL!$C$33, 14.8061, 14.8045) * CHOOSE( CONTROL!$C$16, $D$11, 100%, $F$11)</f>
        <v>14.806100000000001</v>
      </c>
      <c r="E565" s="12">
        <f>CHOOSE( CONTROL!$C$33, 14.7981, 14.7965) * CHOOSE( CONTROL!$C$16, $D$11, 100%, $F$11)</f>
        <v>14.7981</v>
      </c>
      <c r="F565" s="4">
        <f>CHOOSE( CONTROL!$C$33, 15.5069, 15.5053) * CHOOSE(CONTROL!$C$16, $D$11, 100%, $F$11)</f>
        <v>15.5069</v>
      </c>
      <c r="G565" s="8">
        <f>CHOOSE( CONTROL!$C$33, 14.6354, 14.6337) * CHOOSE( CONTROL!$C$16, $D$11, 100%, $F$11)</f>
        <v>14.635400000000001</v>
      </c>
      <c r="H565" s="4">
        <f>CHOOSE( CONTROL!$C$33, 15.572, 15.5703) * CHOOSE(CONTROL!$C$16, $D$11, 100%, $F$11)</f>
        <v>15.571999999999999</v>
      </c>
      <c r="I565" s="8">
        <f>CHOOSE( CONTROL!$C$33, 14.4652, 14.4636) * CHOOSE(CONTROL!$C$16, $D$11, 100%, $F$11)</f>
        <v>14.465199999999999</v>
      </c>
      <c r="J565" s="4">
        <f>CHOOSE( CONTROL!$C$33, 14.3326, 14.331) * CHOOSE(CONTROL!$C$16, $D$11, 100%, $F$11)</f>
        <v>14.332599999999999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1.2509999999999999</v>
      </c>
      <c r="Q565" s="9">
        <v>19.053000000000001</v>
      </c>
      <c r="R565" s="9"/>
      <c r="S565" s="11"/>
    </row>
    <row r="566" spans="1:19" ht="15.75">
      <c r="A566" s="13">
        <v>58379</v>
      </c>
      <c r="B566" s="8">
        <f>CHOOSE( CONTROL!$C$33, 15.4331, 15.432) * CHOOSE(CONTROL!$C$16, $D$11, 100%, $F$11)</f>
        <v>15.4331</v>
      </c>
      <c r="C566" s="8">
        <f>CHOOSE( CONTROL!$C$33, 15.4384, 15.4373) * CHOOSE(CONTROL!$C$16, $D$11, 100%, $F$11)</f>
        <v>15.4384</v>
      </c>
      <c r="D566" s="8">
        <f>CHOOSE( CONTROL!$C$33, 15.4628, 15.4617) * CHOOSE( CONTROL!$C$16, $D$11, 100%, $F$11)</f>
        <v>15.4628</v>
      </c>
      <c r="E566" s="12">
        <f>CHOOSE( CONTROL!$C$33, 15.4542, 15.4531) * CHOOSE( CONTROL!$C$16, $D$11, 100%, $F$11)</f>
        <v>15.4542</v>
      </c>
      <c r="F566" s="4">
        <f>CHOOSE( CONTROL!$C$33, 16.1623, 16.1613) * CHOOSE(CONTROL!$C$16, $D$11, 100%, $F$11)</f>
        <v>16.162299999999998</v>
      </c>
      <c r="G566" s="8">
        <f>CHOOSE( CONTROL!$C$33, 15.2833, 15.2822) * CHOOSE( CONTROL!$C$16, $D$11, 100%, $F$11)</f>
        <v>15.283300000000001</v>
      </c>
      <c r="H566" s="4">
        <f>CHOOSE( CONTROL!$C$33, 16.2197, 16.2186) * CHOOSE(CONTROL!$C$16, $D$11, 100%, $F$11)</f>
        <v>16.2197</v>
      </c>
      <c r="I566" s="8">
        <f>CHOOSE( CONTROL!$C$33, 15.1025, 15.1014) * CHOOSE(CONTROL!$C$16, $D$11, 100%, $F$11)</f>
        <v>15.102499999999999</v>
      </c>
      <c r="J566" s="4">
        <f>CHOOSE( CONTROL!$C$33, 14.9686, 14.9676) * CHOOSE(CONTROL!$C$16, $D$11, 100%, $F$11)</f>
        <v>14.9686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1.2927</v>
      </c>
      <c r="Q566" s="9">
        <v>19.688099999999999</v>
      </c>
      <c r="R566" s="9"/>
      <c r="S566" s="11"/>
    </row>
    <row r="567" spans="1:19" ht="15.75">
      <c r="A567" s="13">
        <v>58409</v>
      </c>
      <c r="B567" s="8">
        <f>CHOOSE( CONTROL!$C$33, 16.6435, 16.6424) * CHOOSE(CONTROL!$C$16, $D$11, 100%, $F$11)</f>
        <v>16.6435</v>
      </c>
      <c r="C567" s="8">
        <f>CHOOSE( CONTROL!$C$33, 16.6486, 16.6475) * CHOOSE(CONTROL!$C$16, $D$11, 100%, $F$11)</f>
        <v>16.648599999999998</v>
      </c>
      <c r="D567" s="8">
        <f>CHOOSE( CONTROL!$C$33, 16.6389, 16.6379) * CHOOSE( CONTROL!$C$16, $D$11, 100%, $F$11)</f>
        <v>16.6389</v>
      </c>
      <c r="E567" s="12">
        <f>CHOOSE( CONTROL!$C$33, 16.6419, 16.6409) * CHOOSE( CONTROL!$C$16, $D$11, 100%, $F$11)</f>
        <v>16.6419</v>
      </c>
      <c r="F567" s="4">
        <f>CHOOSE( CONTROL!$C$33, 17.3036, 17.3025) * CHOOSE(CONTROL!$C$16, $D$11, 100%, $F$11)</f>
        <v>17.303599999999999</v>
      </c>
      <c r="G567" s="8">
        <f>CHOOSE( CONTROL!$C$33, 16.4665, 16.4654) * CHOOSE( CONTROL!$C$16, $D$11, 100%, $F$11)</f>
        <v>16.4665</v>
      </c>
      <c r="H567" s="4">
        <f>CHOOSE( CONTROL!$C$33, 17.3476, 17.3465) * CHOOSE(CONTROL!$C$16, $D$11, 100%, $F$11)</f>
        <v>17.3476</v>
      </c>
      <c r="I567" s="8">
        <f>CHOOSE( CONTROL!$C$33, 16.3375, 16.3364) * CHOOSE(CONTROL!$C$16, $D$11, 100%, $F$11)</f>
        <v>16.337499999999999</v>
      </c>
      <c r="J567" s="4">
        <f>CHOOSE( CONTROL!$C$33, 16.1437, 16.1427) * CHOOSE(CONTROL!$C$16, $D$11, 100%, $F$11)</f>
        <v>16.143699999999999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58440</v>
      </c>
      <c r="B568" s="8">
        <f>CHOOSE( CONTROL!$C$33, 16.6132, 16.6121) * CHOOSE(CONTROL!$C$16, $D$11, 100%, $F$11)</f>
        <v>16.613199999999999</v>
      </c>
      <c r="C568" s="8">
        <f>CHOOSE( CONTROL!$C$33, 16.6183, 16.6172) * CHOOSE(CONTROL!$C$16, $D$11, 100%, $F$11)</f>
        <v>16.618300000000001</v>
      </c>
      <c r="D568" s="8">
        <f>CHOOSE( CONTROL!$C$33, 16.6101, 16.609) * CHOOSE( CONTROL!$C$16, $D$11, 100%, $F$11)</f>
        <v>16.610099999999999</v>
      </c>
      <c r="E568" s="12">
        <f>CHOOSE( CONTROL!$C$33, 16.6126, 16.6115) * CHOOSE( CONTROL!$C$16, $D$11, 100%, $F$11)</f>
        <v>16.6126</v>
      </c>
      <c r="F568" s="4">
        <f>CHOOSE( CONTROL!$C$33, 17.2734, 17.2723) * CHOOSE(CONTROL!$C$16, $D$11, 100%, $F$11)</f>
        <v>17.273399999999999</v>
      </c>
      <c r="G568" s="8">
        <f>CHOOSE( CONTROL!$C$33, 16.4376, 16.4365) * CHOOSE( CONTROL!$C$16, $D$11, 100%, $F$11)</f>
        <v>16.4376</v>
      </c>
      <c r="H568" s="4">
        <f>CHOOSE( CONTROL!$C$33, 17.3177, 17.3166) * CHOOSE(CONTROL!$C$16, $D$11, 100%, $F$11)</f>
        <v>17.317699999999999</v>
      </c>
      <c r="I568" s="8">
        <f>CHOOSE( CONTROL!$C$33, 16.3126, 16.3115) * CHOOSE(CONTROL!$C$16, $D$11, 100%, $F$11)</f>
        <v>16.3126</v>
      </c>
      <c r="J568" s="4">
        <f>CHOOSE( CONTROL!$C$33, 16.1144, 16.1133) * CHOOSE(CONTROL!$C$16, $D$11, 100%, $F$11)</f>
        <v>16.1144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58471</v>
      </c>
      <c r="B569" s="8">
        <f>CHOOSE( CONTROL!$C$33, 17.103, 17.1019) * CHOOSE(CONTROL!$C$16, $D$11, 100%, $F$11)</f>
        <v>17.103000000000002</v>
      </c>
      <c r="C569" s="8">
        <f>CHOOSE( CONTROL!$C$33, 17.108, 17.107) * CHOOSE(CONTROL!$C$16, $D$11, 100%, $F$11)</f>
        <v>17.108000000000001</v>
      </c>
      <c r="D569" s="8">
        <f>CHOOSE( CONTROL!$C$33, 17.1107, 17.1096) * CHOOSE( CONTROL!$C$16, $D$11, 100%, $F$11)</f>
        <v>17.110700000000001</v>
      </c>
      <c r="E569" s="12">
        <f>CHOOSE( CONTROL!$C$33, 17.1092, 17.1081) * CHOOSE( CONTROL!$C$16, $D$11, 100%, $F$11)</f>
        <v>17.109200000000001</v>
      </c>
      <c r="F569" s="4">
        <f>CHOOSE( CONTROL!$C$33, 17.7631, 17.762) * CHOOSE(CONTROL!$C$16, $D$11, 100%, $F$11)</f>
        <v>17.763100000000001</v>
      </c>
      <c r="G569" s="8">
        <f>CHOOSE( CONTROL!$C$33, 16.9244, 16.9234) * CHOOSE( CONTROL!$C$16, $D$11, 100%, $F$11)</f>
        <v>16.924399999999999</v>
      </c>
      <c r="H569" s="4">
        <f>CHOOSE( CONTROL!$C$33, 17.8017, 17.8006) * CHOOSE(CONTROL!$C$16, $D$11, 100%, $F$11)</f>
        <v>17.8017</v>
      </c>
      <c r="I569" s="8">
        <f>CHOOSE( CONTROL!$C$33, 16.7596, 16.7585) * CHOOSE(CONTROL!$C$16, $D$11, 100%, $F$11)</f>
        <v>16.759599999999999</v>
      </c>
      <c r="J569" s="4">
        <f>CHOOSE( CONTROL!$C$33, 16.5897, 16.5886) * CHOOSE(CONTROL!$C$16, $D$11, 100%, $F$11)</f>
        <v>16.589700000000001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58499</v>
      </c>
      <c r="B570" s="8">
        <f>CHOOSE( CONTROL!$C$33, 15.9979, 15.9969) * CHOOSE(CONTROL!$C$16, $D$11, 100%, $F$11)</f>
        <v>15.9979</v>
      </c>
      <c r="C570" s="8">
        <f>CHOOSE( CONTROL!$C$33, 16.003, 16.0019) * CHOOSE(CONTROL!$C$16, $D$11, 100%, $F$11)</f>
        <v>16.003</v>
      </c>
      <c r="D570" s="8">
        <f>CHOOSE( CONTROL!$C$33, 16.0056, 16.0045) * CHOOSE( CONTROL!$C$16, $D$11, 100%, $F$11)</f>
        <v>16.005600000000001</v>
      </c>
      <c r="E570" s="12">
        <f>CHOOSE( CONTROL!$C$33, 16.0041, 16.003) * CHOOSE( CONTROL!$C$16, $D$11, 100%, $F$11)</f>
        <v>16.004100000000001</v>
      </c>
      <c r="F570" s="4">
        <f>CHOOSE( CONTROL!$C$33, 16.6581, 16.657) * CHOOSE(CONTROL!$C$16, $D$11, 100%, $F$11)</f>
        <v>16.658100000000001</v>
      </c>
      <c r="G570" s="8">
        <f>CHOOSE( CONTROL!$C$33, 15.8323, 15.8312) * CHOOSE( CONTROL!$C$16, $D$11, 100%, $F$11)</f>
        <v>15.8323</v>
      </c>
      <c r="H570" s="4">
        <f>CHOOSE( CONTROL!$C$33, 16.7096, 16.7086) * CHOOSE(CONTROL!$C$16, $D$11, 100%, $F$11)</f>
        <v>16.709599999999998</v>
      </c>
      <c r="I570" s="8">
        <f>CHOOSE( CONTROL!$C$33, 15.6863, 15.6853) * CHOOSE(CONTROL!$C$16, $D$11, 100%, $F$11)</f>
        <v>15.686299999999999</v>
      </c>
      <c r="J570" s="4">
        <f>CHOOSE( CONTROL!$C$33, 15.5172, 15.5162) * CHOOSE(CONTROL!$C$16, $D$11, 100%, $F$11)</f>
        <v>15.517200000000001</v>
      </c>
      <c r="K570" s="4"/>
      <c r="L570" s="9">
        <v>27.415299999999998</v>
      </c>
      <c r="M570" s="9">
        <v>11.285299999999999</v>
      </c>
      <c r="N570" s="9">
        <v>4.6254999999999997</v>
      </c>
      <c r="O570" s="9">
        <v>0.34989999999999999</v>
      </c>
      <c r="P570" s="9">
        <v>1.2093</v>
      </c>
      <c r="Q570" s="9">
        <v>18.417899999999999</v>
      </c>
      <c r="R570" s="9"/>
      <c r="S570" s="11"/>
    </row>
    <row r="571" spans="1:19" ht="15.75">
      <c r="A571" s="13">
        <v>58531</v>
      </c>
      <c r="B571" s="8">
        <f>CHOOSE( CONTROL!$C$33, 15.6576, 15.6565) * CHOOSE(CONTROL!$C$16, $D$11, 100%, $F$11)</f>
        <v>15.6576</v>
      </c>
      <c r="C571" s="8">
        <f>CHOOSE( CONTROL!$C$33, 15.6627, 15.6616) * CHOOSE(CONTROL!$C$16, $D$11, 100%, $F$11)</f>
        <v>15.662699999999999</v>
      </c>
      <c r="D571" s="8">
        <f>CHOOSE( CONTROL!$C$33, 15.6645, 15.6635) * CHOOSE( CONTROL!$C$16, $D$11, 100%, $F$11)</f>
        <v>15.6645</v>
      </c>
      <c r="E571" s="12">
        <f>CHOOSE( CONTROL!$C$33, 15.6633, 15.6623) * CHOOSE( CONTROL!$C$16, $D$11, 100%, $F$11)</f>
        <v>15.6633</v>
      </c>
      <c r="F571" s="4">
        <f>CHOOSE( CONTROL!$C$33, 16.3177, 16.3166) * CHOOSE(CONTROL!$C$16, $D$11, 100%, $F$11)</f>
        <v>16.317699999999999</v>
      </c>
      <c r="G571" s="8">
        <f>CHOOSE( CONTROL!$C$33, 15.4954, 15.4944) * CHOOSE( CONTROL!$C$16, $D$11, 100%, $F$11)</f>
        <v>15.4954</v>
      </c>
      <c r="H571" s="4">
        <f>CHOOSE( CONTROL!$C$33, 16.3733, 16.3722) * CHOOSE(CONTROL!$C$16, $D$11, 100%, $F$11)</f>
        <v>16.3733</v>
      </c>
      <c r="I571" s="8">
        <f>CHOOSE( CONTROL!$C$33, 15.3537, 15.3527) * CHOOSE(CONTROL!$C$16, $D$11, 100%, $F$11)</f>
        <v>15.3537</v>
      </c>
      <c r="J571" s="4">
        <f>CHOOSE( CONTROL!$C$33, 15.1869, 15.1859) * CHOOSE(CONTROL!$C$16, $D$11, 100%, $F$11)</f>
        <v>15.1869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58561</v>
      </c>
      <c r="B572" s="8">
        <f>CHOOSE( CONTROL!$C$33, 15.8962, 15.8951) * CHOOSE(CONTROL!$C$16, $D$11, 100%, $F$11)</f>
        <v>15.8962</v>
      </c>
      <c r="C572" s="8">
        <f>CHOOSE( CONTROL!$C$33, 15.9007, 15.8996) * CHOOSE(CONTROL!$C$16, $D$11, 100%, $F$11)</f>
        <v>15.900700000000001</v>
      </c>
      <c r="D572" s="8">
        <f>CHOOSE( CONTROL!$C$33, 15.925, 15.924) * CHOOSE( CONTROL!$C$16, $D$11, 100%, $F$11)</f>
        <v>15.925000000000001</v>
      </c>
      <c r="E572" s="12">
        <f>CHOOSE( CONTROL!$C$33, 15.9165, 15.9154) * CHOOSE( CONTROL!$C$16, $D$11, 100%, $F$11)</f>
        <v>15.916499999999999</v>
      </c>
      <c r="F572" s="4">
        <f>CHOOSE( CONTROL!$C$33, 16.6251, 16.624) * CHOOSE(CONTROL!$C$16, $D$11, 100%, $F$11)</f>
        <v>16.6251</v>
      </c>
      <c r="G572" s="8">
        <f>CHOOSE( CONTROL!$C$33, 15.7402, 15.7391) * CHOOSE( CONTROL!$C$16, $D$11, 100%, $F$11)</f>
        <v>15.7402</v>
      </c>
      <c r="H572" s="4">
        <f>CHOOSE( CONTROL!$C$33, 16.677, 16.676) * CHOOSE(CONTROL!$C$16, $D$11, 100%, $F$11)</f>
        <v>16.677</v>
      </c>
      <c r="I572" s="8">
        <f>CHOOSE( CONTROL!$C$33, 15.5499, 15.5489) * CHOOSE(CONTROL!$C$16, $D$11, 100%, $F$11)</f>
        <v>15.549899999999999</v>
      </c>
      <c r="J572" s="4">
        <f>CHOOSE( CONTROL!$C$33, 15.4178, 15.4167) * CHOOSE(CONTROL!$C$16, $D$11, 100%, $F$11)</f>
        <v>15.4178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1.2509999999999999</v>
      </c>
      <c r="Q572" s="9">
        <v>19.053000000000001</v>
      </c>
      <c r="R572" s="9"/>
      <c r="S572" s="11"/>
    </row>
    <row r="573" spans="1:19" ht="15.75">
      <c r="A573" s="13">
        <v>58592</v>
      </c>
      <c r="B573" s="8">
        <f>CHOOSE( CONTROL!$C$33, 16.3214, 16.3197) * CHOOSE(CONTROL!$C$16, $D$11, 100%, $F$11)</f>
        <v>16.321400000000001</v>
      </c>
      <c r="C573" s="8">
        <f>CHOOSE( CONTROL!$C$33, 16.3294, 16.3277) * CHOOSE(CONTROL!$C$16, $D$11, 100%, $F$11)</f>
        <v>16.3294</v>
      </c>
      <c r="D573" s="8">
        <f>CHOOSE( CONTROL!$C$33, 16.3477, 16.346) * CHOOSE( CONTROL!$C$16, $D$11, 100%, $F$11)</f>
        <v>16.3477</v>
      </c>
      <c r="E573" s="12">
        <f>CHOOSE( CONTROL!$C$33, 16.3398, 16.3381) * CHOOSE( CONTROL!$C$16, $D$11, 100%, $F$11)</f>
        <v>16.3398</v>
      </c>
      <c r="F573" s="4">
        <f>CHOOSE( CONTROL!$C$33, 17.0489, 17.0473) * CHOOSE(CONTROL!$C$16, $D$11, 100%, $F$11)</f>
        <v>17.0489</v>
      </c>
      <c r="G573" s="8">
        <f>CHOOSE( CONTROL!$C$33, 16.159, 16.1573) * CHOOSE( CONTROL!$C$16, $D$11, 100%, $F$11)</f>
        <v>16.158999999999999</v>
      </c>
      <c r="H573" s="4">
        <f>CHOOSE( CONTROL!$C$33, 17.0959, 17.0943) * CHOOSE(CONTROL!$C$16, $D$11, 100%, $F$11)</f>
        <v>17.0959</v>
      </c>
      <c r="I573" s="8">
        <f>CHOOSE( CONTROL!$C$33, 15.9609, 15.9593) * CHOOSE(CONTROL!$C$16, $D$11, 100%, $F$11)</f>
        <v>15.960900000000001</v>
      </c>
      <c r="J573" s="4">
        <f>CHOOSE( CONTROL!$C$33, 15.8291, 15.8275) * CHOOSE(CONTROL!$C$16, $D$11, 100%, $F$11)</f>
        <v>15.8291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1.2927</v>
      </c>
      <c r="Q573" s="9">
        <v>19.688099999999999</v>
      </c>
      <c r="R573" s="9"/>
      <c r="S573" s="11"/>
    </row>
    <row r="574" spans="1:19" ht="15.75">
      <c r="A574" s="13">
        <v>58622</v>
      </c>
      <c r="B574" s="8">
        <f>CHOOSE( CONTROL!$C$33, 16.0592, 16.0575) * CHOOSE(CONTROL!$C$16, $D$11, 100%, $F$11)</f>
        <v>16.059200000000001</v>
      </c>
      <c r="C574" s="8">
        <f>CHOOSE( CONTROL!$C$33, 16.0672, 16.0655) * CHOOSE(CONTROL!$C$16, $D$11, 100%, $F$11)</f>
        <v>16.0672</v>
      </c>
      <c r="D574" s="8">
        <f>CHOOSE( CONTROL!$C$33, 16.0857, 16.0841) * CHOOSE( CONTROL!$C$16, $D$11, 100%, $F$11)</f>
        <v>16.085699999999999</v>
      </c>
      <c r="E574" s="12">
        <f>CHOOSE( CONTROL!$C$33, 16.0778, 16.0761) * CHOOSE( CONTROL!$C$16, $D$11, 100%, $F$11)</f>
        <v>16.0778</v>
      </c>
      <c r="F574" s="4">
        <f>CHOOSE( CONTROL!$C$33, 16.7867, 16.7851) * CHOOSE(CONTROL!$C$16, $D$11, 100%, $F$11)</f>
        <v>16.7867</v>
      </c>
      <c r="G574" s="8">
        <f>CHOOSE( CONTROL!$C$33, 15.9, 15.8984) * CHOOSE( CONTROL!$C$16, $D$11, 100%, $F$11)</f>
        <v>15.9</v>
      </c>
      <c r="H574" s="4">
        <f>CHOOSE( CONTROL!$C$33, 16.8368, 16.8352) * CHOOSE(CONTROL!$C$16, $D$11, 100%, $F$11)</f>
        <v>16.8368</v>
      </c>
      <c r="I574" s="8">
        <f>CHOOSE( CONTROL!$C$33, 15.7071, 15.7055) * CHOOSE(CONTROL!$C$16, $D$11, 100%, $F$11)</f>
        <v>15.707100000000001</v>
      </c>
      <c r="J574" s="4">
        <f>CHOOSE( CONTROL!$C$33, 15.5746, 15.573) * CHOOSE(CONTROL!$C$16, $D$11, 100%, $F$11)</f>
        <v>15.5746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1.2509999999999999</v>
      </c>
      <c r="Q574" s="9">
        <v>19.053000000000001</v>
      </c>
      <c r="R574" s="9"/>
      <c r="S574" s="11"/>
    </row>
    <row r="575" spans="1:19" ht="15.75">
      <c r="A575" s="13">
        <v>58653</v>
      </c>
      <c r="B575" s="8">
        <f>CHOOSE( CONTROL!$C$33, 16.7497, 16.748) * CHOOSE(CONTROL!$C$16, $D$11, 100%, $F$11)</f>
        <v>16.749700000000001</v>
      </c>
      <c r="C575" s="8">
        <f>CHOOSE( CONTROL!$C$33, 16.7576, 16.756) * CHOOSE(CONTROL!$C$16, $D$11, 100%, $F$11)</f>
        <v>16.7576</v>
      </c>
      <c r="D575" s="8">
        <f>CHOOSE( CONTROL!$C$33, 16.7764, 16.7748) * CHOOSE( CONTROL!$C$16, $D$11, 100%, $F$11)</f>
        <v>16.776399999999999</v>
      </c>
      <c r="E575" s="12">
        <f>CHOOSE( CONTROL!$C$33, 16.7684, 16.7668) * CHOOSE( CONTROL!$C$16, $D$11, 100%, $F$11)</f>
        <v>16.7684</v>
      </c>
      <c r="F575" s="4">
        <f>CHOOSE( CONTROL!$C$33, 17.4772, 17.4756) * CHOOSE(CONTROL!$C$16, $D$11, 100%, $F$11)</f>
        <v>17.4772</v>
      </c>
      <c r="G575" s="8">
        <f>CHOOSE( CONTROL!$C$33, 16.5826, 16.581) * CHOOSE( CONTROL!$C$16, $D$11, 100%, $F$11)</f>
        <v>16.582599999999999</v>
      </c>
      <c r="H575" s="4">
        <f>CHOOSE( CONTROL!$C$33, 17.5192, 17.5176) * CHOOSE(CONTROL!$C$16, $D$11, 100%, $F$11)</f>
        <v>17.519200000000001</v>
      </c>
      <c r="I575" s="8">
        <f>CHOOSE( CONTROL!$C$33, 16.3784, 16.3768) * CHOOSE(CONTROL!$C$16, $D$11, 100%, $F$11)</f>
        <v>16.378399999999999</v>
      </c>
      <c r="J575" s="4">
        <f>CHOOSE( CONTROL!$C$33, 16.2447, 16.2431) * CHOOSE(CONTROL!$C$16, $D$11, 100%, $F$11)</f>
        <v>16.244700000000002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1.2927</v>
      </c>
      <c r="Q575" s="9">
        <v>19.688099999999999</v>
      </c>
      <c r="R575" s="9"/>
      <c r="S575" s="11"/>
    </row>
    <row r="576" spans="1:19" ht="15.75">
      <c r="A576" s="13">
        <v>58684</v>
      </c>
      <c r="B576" s="8">
        <f>CHOOSE( CONTROL!$C$33, 15.4577, 15.4561) * CHOOSE(CONTROL!$C$16, $D$11, 100%, $F$11)</f>
        <v>15.457700000000001</v>
      </c>
      <c r="C576" s="8">
        <f>CHOOSE( CONTROL!$C$33, 15.4657, 15.464) * CHOOSE(CONTROL!$C$16, $D$11, 100%, $F$11)</f>
        <v>15.4657</v>
      </c>
      <c r="D576" s="8">
        <f>CHOOSE( CONTROL!$C$33, 15.4846, 15.4829) * CHOOSE( CONTROL!$C$16, $D$11, 100%, $F$11)</f>
        <v>15.4846</v>
      </c>
      <c r="E576" s="12">
        <f>CHOOSE( CONTROL!$C$33, 15.4765, 15.4748) * CHOOSE( CONTROL!$C$16, $D$11, 100%, $F$11)</f>
        <v>15.4765</v>
      </c>
      <c r="F576" s="4">
        <f>CHOOSE( CONTROL!$C$33, 16.1853, 16.1836) * CHOOSE(CONTROL!$C$16, $D$11, 100%, $F$11)</f>
        <v>16.185300000000002</v>
      </c>
      <c r="G576" s="8">
        <f>CHOOSE( CONTROL!$C$33, 15.3058, 15.3042) * CHOOSE( CONTROL!$C$16, $D$11, 100%, $F$11)</f>
        <v>15.3058</v>
      </c>
      <c r="H576" s="4">
        <f>CHOOSE( CONTROL!$C$33, 16.2424, 16.2407) * CHOOSE(CONTROL!$C$16, $D$11, 100%, $F$11)</f>
        <v>16.2424</v>
      </c>
      <c r="I576" s="8">
        <f>CHOOSE( CONTROL!$C$33, 15.1242, 15.1226) * CHOOSE(CONTROL!$C$16, $D$11, 100%, $F$11)</f>
        <v>15.1242</v>
      </c>
      <c r="J576" s="4">
        <f>CHOOSE( CONTROL!$C$33, 14.9909, 14.9893) * CHOOSE(CONTROL!$C$16, $D$11, 100%, $F$11)</f>
        <v>14.9909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1.2927</v>
      </c>
      <c r="Q576" s="9">
        <v>19.688099999999999</v>
      </c>
      <c r="R576" s="9"/>
      <c r="S576" s="11"/>
    </row>
    <row r="577" spans="1:19" ht="15.75">
      <c r="A577" s="13">
        <v>58714</v>
      </c>
      <c r="B577" s="8">
        <f>CHOOSE( CONTROL!$C$33, 15.1342, 15.1325) * CHOOSE(CONTROL!$C$16, $D$11, 100%, $F$11)</f>
        <v>15.1342</v>
      </c>
      <c r="C577" s="8">
        <f>CHOOSE( CONTROL!$C$33, 15.1422, 15.1405) * CHOOSE(CONTROL!$C$16, $D$11, 100%, $F$11)</f>
        <v>15.142200000000001</v>
      </c>
      <c r="D577" s="8">
        <f>CHOOSE( CONTROL!$C$33, 15.1609, 15.1593) * CHOOSE( CONTROL!$C$16, $D$11, 100%, $F$11)</f>
        <v>15.1609</v>
      </c>
      <c r="E577" s="12">
        <f>CHOOSE( CONTROL!$C$33, 15.1529, 15.1513) * CHOOSE( CONTROL!$C$16, $D$11, 100%, $F$11)</f>
        <v>15.152900000000001</v>
      </c>
      <c r="F577" s="4">
        <f>CHOOSE( CONTROL!$C$33, 15.8617, 15.8601) * CHOOSE(CONTROL!$C$16, $D$11, 100%, $F$11)</f>
        <v>15.861700000000001</v>
      </c>
      <c r="G577" s="8">
        <f>CHOOSE( CONTROL!$C$33, 14.986, 14.9844) * CHOOSE( CONTROL!$C$16, $D$11, 100%, $F$11)</f>
        <v>14.986000000000001</v>
      </c>
      <c r="H577" s="4">
        <f>CHOOSE( CONTROL!$C$33, 15.9226, 15.921) * CHOOSE(CONTROL!$C$16, $D$11, 100%, $F$11)</f>
        <v>15.922599999999999</v>
      </c>
      <c r="I577" s="8">
        <f>CHOOSE( CONTROL!$C$33, 14.8097, 14.8081) * CHOOSE(CONTROL!$C$16, $D$11, 100%, $F$11)</f>
        <v>14.809699999999999</v>
      </c>
      <c r="J577" s="4">
        <f>CHOOSE( CONTROL!$C$33, 14.6769, 14.6753) * CHOOSE(CONTROL!$C$16, $D$11, 100%, $F$11)</f>
        <v>14.6769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1.2509999999999999</v>
      </c>
      <c r="Q577" s="9">
        <v>19.053000000000001</v>
      </c>
      <c r="R577" s="9"/>
      <c r="S577" s="11"/>
    </row>
    <row r="578" spans="1:19" ht="15.75">
      <c r="A578" s="13">
        <v>58745</v>
      </c>
      <c r="B578" s="8">
        <f>CHOOSE( CONTROL!$C$33, 15.8036, 15.8026) * CHOOSE(CONTROL!$C$16, $D$11, 100%, $F$11)</f>
        <v>15.803599999999999</v>
      </c>
      <c r="C578" s="8">
        <f>CHOOSE( CONTROL!$C$33, 15.809, 15.8079) * CHOOSE(CONTROL!$C$16, $D$11, 100%, $F$11)</f>
        <v>15.808999999999999</v>
      </c>
      <c r="D578" s="8">
        <f>CHOOSE( CONTROL!$C$33, 15.8334, 15.8323) * CHOOSE( CONTROL!$C$16, $D$11, 100%, $F$11)</f>
        <v>15.833399999999999</v>
      </c>
      <c r="E578" s="12">
        <f>CHOOSE( CONTROL!$C$33, 15.8248, 15.8237) * CHOOSE( CONTROL!$C$16, $D$11, 100%, $F$11)</f>
        <v>15.8248</v>
      </c>
      <c r="F578" s="4">
        <f>CHOOSE( CONTROL!$C$33, 16.5329, 16.5318) * CHOOSE(CONTROL!$C$16, $D$11, 100%, $F$11)</f>
        <v>16.532900000000001</v>
      </c>
      <c r="G578" s="8">
        <f>CHOOSE( CONTROL!$C$33, 15.6495, 15.6484) * CHOOSE( CONTROL!$C$16, $D$11, 100%, $F$11)</f>
        <v>15.6495</v>
      </c>
      <c r="H578" s="4">
        <f>CHOOSE( CONTROL!$C$33, 16.5859, 16.5849) * CHOOSE(CONTROL!$C$16, $D$11, 100%, $F$11)</f>
        <v>16.585899999999999</v>
      </c>
      <c r="I578" s="8">
        <f>CHOOSE( CONTROL!$C$33, 15.4623, 15.4612) * CHOOSE(CONTROL!$C$16, $D$11, 100%, $F$11)</f>
        <v>15.462300000000001</v>
      </c>
      <c r="J578" s="4">
        <f>CHOOSE( CONTROL!$C$33, 15.3283, 15.3272) * CHOOSE(CONTROL!$C$16, $D$11, 100%, $F$11)</f>
        <v>15.3283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1.2927</v>
      </c>
      <c r="Q578" s="9">
        <v>19.688099999999999</v>
      </c>
      <c r="R578" s="9"/>
      <c r="S578" s="11"/>
    </row>
    <row r="579" spans="1:19" ht="15.75">
      <c r="A579" s="13">
        <v>58775</v>
      </c>
      <c r="B579" s="8">
        <f>CHOOSE( CONTROL!$C$33, 17.0431, 17.042) * CHOOSE(CONTROL!$C$16, $D$11, 100%, $F$11)</f>
        <v>17.043099999999999</v>
      </c>
      <c r="C579" s="8">
        <f>CHOOSE( CONTROL!$C$33, 17.0482, 17.0471) * CHOOSE(CONTROL!$C$16, $D$11, 100%, $F$11)</f>
        <v>17.048200000000001</v>
      </c>
      <c r="D579" s="8">
        <f>CHOOSE( CONTROL!$C$33, 17.0386, 17.0375) * CHOOSE( CONTROL!$C$16, $D$11, 100%, $F$11)</f>
        <v>17.038599999999999</v>
      </c>
      <c r="E579" s="12">
        <f>CHOOSE( CONTROL!$C$33, 17.0416, 17.0405) * CHOOSE( CONTROL!$C$16, $D$11, 100%, $F$11)</f>
        <v>17.041599999999999</v>
      </c>
      <c r="F579" s="4">
        <f>CHOOSE( CONTROL!$C$33, 17.7033, 17.7022) * CHOOSE(CONTROL!$C$16, $D$11, 100%, $F$11)</f>
        <v>17.703299999999999</v>
      </c>
      <c r="G579" s="8">
        <f>CHOOSE( CONTROL!$C$33, 16.8615, 16.8604) * CHOOSE( CONTROL!$C$16, $D$11, 100%, $F$11)</f>
        <v>16.861499999999999</v>
      </c>
      <c r="H579" s="4">
        <f>CHOOSE( CONTROL!$C$33, 17.7426, 17.7415) * CHOOSE(CONTROL!$C$16, $D$11, 100%, $F$11)</f>
        <v>17.742599999999999</v>
      </c>
      <c r="I579" s="8">
        <f>CHOOSE( CONTROL!$C$33, 16.7256, 16.7245) * CHOOSE(CONTROL!$C$16, $D$11, 100%, $F$11)</f>
        <v>16.7256</v>
      </c>
      <c r="J579" s="4">
        <f>CHOOSE( CONTROL!$C$33, 16.5316, 16.5306) * CHOOSE(CONTROL!$C$16, $D$11, 100%, $F$11)</f>
        <v>16.531600000000001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58806</v>
      </c>
      <c r="B580" s="8">
        <f>CHOOSE( CONTROL!$C$33, 17.0122, 17.0111) * CHOOSE(CONTROL!$C$16, $D$11, 100%, $F$11)</f>
        <v>17.0122</v>
      </c>
      <c r="C580" s="8">
        <f>CHOOSE( CONTROL!$C$33, 17.0172, 17.0161) * CHOOSE(CONTROL!$C$16, $D$11, 100%, $F$11)</f>
        <v>17.017199999999999</v>
      </c>
      <c r="D580" s="8">
        <f>CHOOSE( CONTROL!$C$33, 17.0091, 17.008) * CHOOSE( CONTROL!$C$16, $D$11, 100%, $F$11)</f>
        <v>17.0091</v>
      </c>
      <c r="E580" s="12">
        <f>CHOOSE( CONTROL!$C$33, 17.0115, 17.0104) * CHOOSE( CONTROL!$C$16, $D$11, 100%, $F$11)</f>
        <v>17.011500000000002</v>
      </c>
      <c r="F580" s="4">
        <f>CHOOSE( CONTROL!$C$33, 17.6723, 17.6712) * CHOOSE(CONTROL!$C$16, $D$11, 100%, $F$11)</f>
        <v>17.6723</v>
      </c>
      <c r="G580" s="8">
        <f>CHOOSE( CONTROL!$C$33, 16.8319, 16.8308) * CHOOSE( CONTROL!$C$16, $D$11, 100%, $F$11)</f>
        <v>16.831900000000001</v>
      </c>
      <c r="H580" s="4">
        <f>CHOOSE( CONTROL!$C$33, 17.712, 17.7109) * CHOOSE(CONTROL!$C$16, $D$11, 100%, $F$11)</f>
        <v>17.712</v>
      </c>
      <c r="I580" s="8">
        <f>CHOOSE( CONTROL!$C$33, 16.6999, 16.6989) * CHOOSE(CONTROL!$C$16, $D$11, 100%, $F$11)</f>
        <v>16.6999</v>
      </c>
      <c r="J580" s="4">
        <f>CHOOSE( CONTROL!$C$33, 16.5015, 16.5005) * CHOOSE(CONTROL!$C$16, $D$11, 100%, $F$11)</f>
        <v>16.5015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58837</v>
      </c>
      <c r="B581" s="8">
        <f>CHOOSE( CONTROL!$C$33, 17.5137, 17.5126) * CHOOSE(CONTROL!$C$16, $D$11, 100%, $F$11)</f>
        <v>17.5137</v>
      </c>
      <c r="C581" s="8">
        <f>CHOOSE( CONTROL!$C$33, 17.5187, 17.5177) * CHOOSE(CONTROL!$C$16, $D$11, 100%, $F$11)</f>
        <v>17.518699999999999</v>
      </c>
      <c r="D581" s="8">
        <f>CHOOSE( CONTROL!$C$33, 17.5214, 17.5203) * CHOOSE( CONTROL!$C$16, $D$11, 100%, $F$11)</f>
        <v>17.5214</v>
      </c>
      <c r="E581" s="12">
        <f>CHOOSE( CONTROL!$C$33, 17.5199, 17.5188) * CHOOSE( CONTROL!$C$16, $D$11, 100%, $F$11)</f>
        <v>17.5199</v>
      </c>
      <c r="F581" s="4">
        <f>CHOOSE( CONTROL!$C$33, 18.1738, 18.1727) * CHOOSE(CONTROL!$C$16, $D$11, 100%, $F$11)</f>
        <v>18.1738</v>
      </c>
      <c r="G581" s="8">
        <f>CHOOSE( CONTROL!$C$33, 17.3303, 17.3293) * CHOOSE( CONTROL!$C$16, $D$11, 100%, $F$11)</f>
        <v>17.330300000000001</v>
      </c>
      <c r="H581" s="4">
        <f>CHOOSE( CONTROL!$C$33, 18.2076, 18.2065) * CHOOSE(CONTROL!$C$16, $D$11, 100%, $F$11)</f>
        <v>18.207599999999999</v>
      </c>
      <c r="I581" s="8">
        <f>CHOOSE( CONTROL!$C$33, 17.1583, 17.1573) * CHOOSE(CONTROL!$C$16, $D$11, 100%, $F$11)</f>
        <v>17.158300000000001</v>
      </c>
      <c r="J581" s="4">
        <f>CHOOSE( CONTROL!$C$33, 16.9883, 16.9872) * CHOOSE(CONTROL!$C$16, $D$11, 100%, $F$11)</f>
        <v>16.988299999999999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58865</v>
      </c>
      <c r="B582" s="8">
        <f>CHOOSE( CONTROL!$C$33, 16.3821, 16.381) * CHOOSE(CONTROL!$C$16, $D$11, 100%, $F$11)</f>
        <v>16.382100000000001</v>
      </c>
      <c r="C582" s="8">
        <f>CHOOSE( CONTROL!$C$33, 16.3872, 16.3861) * CHOOSE(CONTROL!$C$16, $D$11, 100%, $F$11)</f>
        <v>16.3872</v>
      </c>
      <c r="D582" s="8">
        <f>CHOOSE( CONTROL!$C$33, 16.3897, 16.3886) * CHOOSE( CONTROL!$C$16, $D$11, 100%, $F$11)</f>
        <v>16.389700000000001</v>
      </c>
      <c r="E582" s="12">
        <f>CHOOSE( CONTROL!$C$33, 16.3882, 16.3871) * CHOOSE( CONTROL!$C$16, $D$11, 100%, $F$11)</f>
        <v>16.388200000000001</v>
      </c>
      <c r="F582" s="4">
        <f>CHOOSE( CONTROL!$C$33, 17.0422, 17.0411) * CHOOSE(CONTROL!$C$16, $D$11, 100%, $F$11)</f>
        <v>17.042200000000001</v>
      </c>
      <c r="G582" s="8">
        <f>CHOOSE( CONTROL!$C$33, 16.2119, 16.2109) * CHOOSE( CONTROL!$C$16, $D$11, 100%, $F$11)</f>
        <v>16.2119</v>
      </c>
      <c r="H582" s="4">
        <f>CHOOSE( CONTROL!$C$33, 17.0893, 17.0882) * CHOOSE(CONTROL!$C$16, $D$11, 100%, $F$11)</f>
        <v>17.089300000000001</v>
      </c>
      <c r="I582" s="8">
        <f>CHOOSE( CONTROL!$C$33, 16.0593, 16.0583) * CHOOSE(CONTROL!$C$16, $D$11, 100%, $F$11)</f>
        <v>16.0593</v>
      </c>
      <c r="J582" s="4">
        <f>CHOOSE( CONTROL!$C$33, 15.8901, 15.889) * CHOOSE(CONTROL!$C$16, $D$11, 100%, $F$11)</f>
        <v>15.8901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58893</v>
      </c>
      <c r="B583" s="8">
        <f>CHOOSE( CONTROL!$C$33, 16.0336, 16.0325) * CHOOSE(CONTROL!$C$16, $D$11, 100%, $F$11)</f>
        <v>16.0336</v>
      </c>
      <c r="C583" s="8">
        <f>CHOOSE( CONTROL!$C$33, 16.0386, 16.0376) * CHOOSE(CONTROL!$C$16, $D$11, 100%, $F$11)</f>
        <v>16.038599999999999</v>
      </c>
      <c r="D583" s="8">
        <f>CHOOSE( CONTROL!$C$33, 16.0405, 16.0394) * CHOOSE( CONTROL!$C$16, $D$11, 100%, $F$11)</f>
        <v>16.040500000000002</v>
      </c>
      <c r="E583" s="12">
        <f>CHOOSE( CONTROL!$C$33, 16.0393, 16.0382) * CHOOSE( CONTROL!$C$16, $D$11, 100%, $F$11)</f>
        <v>16.039300000000001</v>
      </c>
      <c r="F583" s="4">
        <f>CHOOSE( CONTROL!$C$33, 16.6937, 16.6926) * CHOOSE(CONTROL!$C$16, $D$11, 100%, $F$11)</f>
        <v>16.6937</v>
      </c>
      <c r="G583" s="8">
        <f>CHOOSE( CONTROL!$C$33, 15.867, 15.8659) * CHOOSE( CONTROL!$C$16, $D$11, 100%, $F$11)</f>
        <v>15.867000000000001</v>
      </c>
      <c r="H583" s="4">
        <f>CHOOSE( CONTROL!$C$33, 16.7448, 16.7438) * CHOOSE(CONTROL!$C$16, $D$11, 100%, $F$11)</f>
        <v>16.744800000000001</v>
      </c>
      <c r="I583" s="8">
        <f>CHOOSE( CONTROL!$C$33, 15.7188, 15.7178) * CHOOSE(CONTROL!$C$16, $D$11, 100%, $F$11)</f>
        <v>15.7188</v>
      </c>
      <c r="J583" s="4">
        <f>CHOOSE( CONTROL!$C$33, 15.5518, 15.5508) * CHOOSE(CONTROL!$C$16, $D$11, 100%, $F$11)</f>
        <v>15.5518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58926</v>
      </c>
      <c r="B584" s="8">
        <f>CHOOSE( CONTROL!$C$33, 16.2779, 16.2768) * CHOOSE(CONTROL!$C$16, $D$11, 100%, $F$11)</f>
        <v>16.277899999999999</v>
      </c>
      <c r="C584" s="8">
        <f>CHOOSE( CONTROL!$C$33, 16.2824, 16.2813) * CHOOSE(CONTROL!$C$16, $D$11, 100%, $F$11)</f>
        <v>16.282399999999999</v>
      </c>
      <c r="D584" s="8">
        <f>CHOOSE( CONTROL!$C$33, 16.3067, 16.3056) * CHOOSE( CONTROL!$C$16, $D$11, 100%, $F$11)</f>
        <v>16.306699999999999</v>
      </c>
      <c r="E584" s="12">
        <f>CHOOSE( CONTROL!$C$33, 16.2982, 16.2971) * CHOOSE( CONTROL!$C$16, $D$11, 100%, $F$11)</f>
        <v>16.298200000000001</v>
      </c>
      <c r="F584" s="4">
        <f>CHOOSE( CONTROL!$C$33, 17.0068, 17.0057) * CHOOSE(CONTROL!$C$16, $D$11, 100%, $F$11)</f>
        <v>17.006799999999998</v>
      </c>
      <c r="G584" s="8">
        <f>CHOOSE( CONTROL!$C$33, 16.1174, 16.1163) * CHOOSE( CONTROL!$C$16, $D$11, 100%, $F$11)</f>
        <v>16.1174</v>
      </c>
      <c r="H584" s="4">
        <f>CHOOSE( CONTROL!$C$33, 17.0543, 17.0532) * CHOOSE(CONTROL!$C$16, $D$11, 100%, $F$11)</f>
        <v>17.054300000000001</v>
      </c>
      <c r="I584" s="8">
        <f>CHOOSE( CONTROL!$C$33, 15.9205, 15.9195) * CHOOSE(CONTROL!$C$16, $D$11, 100%, $F$11)</f>
        <v>15.920500000000001</v>
      </c>
      <c r="J584" s="4">
        <f>CHOOSE( CONTROL!$C$33, 15.7882, 15.7871) * CHOOSE(CONTROL!$C$16, $D$11, 100%, $F$11)</f>
        <v>15.7882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1.2509999999999999</v>
      </c>
      <c r="Q584" s="9">
        <v>19.053000000000001</v>
      </c>
      <c r="R584" s="9"/>
      <c r="S584" s="11"/>
    </row>
    <row r="585" spans="1:19" ht="15.75">
      <c r="A585" s="13">
        <v>58957</v>
      </c>
      <c r="B585" s="8">
        <f>CHOOSE( CONTROL!$C$33, 16.7133, 16.7116) * CHOOSE(CONTROL!$C$16, $D$11, 100%, $F$11)</f>
        <v>16.7133</v>
      </c>
      <c r="C585" s="8">
        <f>CHOOSE( CONTROL!$C$33, 16.7212, 16.7196) * CHOOSE(CONTROL!$C$16, $D$11, 100%, $F$11)</f>
        <v>16.7212</v>
      </c>
      <c r="D585" s="8">
        <f>CHOOSE( CONTROL!$C$33, 16.7395, 16.7379) * CHOOSE( CONTROL!$C$16, $D$11, 100%, $F$11)</f>
        <v>16.7395</v>
      </c>
      <c r="E585" s="12">
        <f>CHOOSE( CONTROL!$C$33, 16.7317, 16.73) * CHOOSE( CONTROL!$C$16, $D$11, 100%, $F$11)</f>
        <v>16.7317</v>
      </c>
      <c r="F585" s="4">
        <f>CHOOSE( CONTROL!$C$33, 17.4408, 17.4391) * CHOOSE(CONTROL!$C$16, $D$11, 100%, $F$11)</f>
        <v>17.440799999999999</v>
      </c>
      <c r="G585" s="8">
        <f>CHOOSE( CONTROL!$C$33, 16.5462, 16.5446) * CHOOSE( CONTROL!$C$16, $D$11, 100%, $F$11)</f>
        <v>16.546199999999999</v>
      </c>
      <c r="H585" s="4">
        <f>CHOOSE( CONTROL!$C$33, 17.4832, 17.4816) * CHOOSE(CONTROL!$C$16, $D$11, 100%, $F$11)</f>
        <v>17.4832</v>
      </c>
      <c r="I585" s="8">
        <f>CHOOSE( CONTROL!$C$33, 16.3413, 16.3397) * CHOOSE(CONTROL!$C$16, $D$11, 100%, $F$11)</f>
        <v>16.3413</v>
      </c>
      <c r="J585" s="4">
        <f>CHOOSE( CONTROL!$C$33, 16.2094, 16.2078) * CHOOSE(CONTROL!$C$16, $D$11, 100%, $F$11)</f>
        <v>16.209399999999999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1.2927</v>
      </c>
      <c r="Q585" s="9">
        <v>19.688099999999999</v>
      </c>
      <c r="R585" s="9"/>
      <c r="S585" s="11"/>
    </row>
    <row r="586" spans="1:19" ht="15.75">
      <c r="A586" s="13">
        <v>58987</v>
      </c>
      <c r="B586" s="8">
        <f>CHOOSE( CONTROL!$C$33, 16.4447, 16.4431) * CHOOSE(CONTROL!$C$16, $D$11, 100%, $F$11)</f>
        <v>16.444700000000001</v>
      </c>
      <c r="C586" s="8">
        <f>CHOOSE( CONTROL!$C$33, 16.4527, 16.4511) * CHOOSE(CONTROL!$C$16, $D$11, 100%, $F$11)</f>
        <v>16.4527</v>
      </c>
      <c r="D586" s="8">
        <f>CHOOSE( CONTROL!$C$33, 16.4713, 16.4696) * CHOOSE( CONTROL!$C$16, $D$11, 100%, $F$11)</f>
        <v>16.471299999999999</v>
      </c>
      <c r="E586" s="12">
        <f>CHOOSE( CONTROL!$C$33, 16.4633, 16.4617) * CHOOSE( CONTROL!$C$16, $D$11, 100%, $F$11)</f>
        <v>16.4633</v>
      </c>
      <c r="F586" s="4">
        <f>CHOOSE( CONTROL!$C$33, 17.1723, 17.1706) * CHOOSE(CONTROL!$C$16, $D$11, 100%, $F$11)</f>
        <v>17.1723</v>
      </c>
      <c r="G586" s="8">
        <f>CHOOSE( CONTROL!$C$33, 16.2811, 16.2794) * CHOOSE( CONTROL!$C$16, $D$11, 100%, $F$11)</f>
        <v>16.281099999999999</v>
      </c>
      <c r="H586" s="4">
        <f>CHOOSE( CONTROL!$C$33, 17.2178, 17.2162) * CHOOSE(CONTROL!$C$16, $D$11, 100%, $F$11)</f>
        <v>17.2178</v>
      </c>
      <c r="I586" s="8">
        <f>CHOOSE( CONTROL!$C$33, 16.0815, 16.0799) * CHOOSE(CONTROL!$C$16, $D$11, 100%, $F$11)</f>
        <v>16.081499999999998</v>
      </c>
      <c r="J586" s="4">
        <f>CHOOSE( CONTROL!$C$33, 15.9488, 15.9472) * CHOOSE(CONTROL!$C$16, $D$11, 100%, $F$11)</f>
        <v>15.9488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1.2509999999999999</v>
      </c>
      <c r="Q586" s="9">
        <v>19.053000000000001</v>
      </c>
      <c r="R586" s="9"/>
      <c r="S586" s="11"/>
    </row>
    <row r="587" spans="1:19" ht="15.75">
      <c r="A587" s="13">
        <v>59018</v>
      </c>
      <c r="B587" s="8">
        <f>CHOOSE( CONTROL!$C$33, 17.1518, 17.1502) * CHOOSE(CONTROL!$C$16, $D$11, 100%, $F$11)</f>
        <v>17.151800000000001</v>
      </c>
      <c r="C587" s="8">
        <f>CHOOSE( CONTROL!$C$33, 17.1598, 17.1581) * CHOOSE(CONTROL!$C$16, $D$11, 100%, $F$11)</f>
        <v>17.159800000000001</v>
      </c>
      <c r="D587" s="8">
        <f>CHOOSE( CONTROL!$C$33, 17.1786, 17.1769) * CHOOSE( CONTROL!$C$16, $D$11, 100%, $F$11)</f>
        <v>17.178599999999999</v>
      </c>
      <c r="E587" s="12">
        <f>CHOOSE( CONTROL!$C$33, 17.1706, 17.1689) * CHOOSE( CONTROL!$C$16, $D$11, 100%, $F$11)</f>
        <v>17.1706</v>
      </c>
      <c r="F587" s="4">
        <f>CHOOSE( CONTROL!$C$33, 17.8794, 17.8777) * CHOOSE(CONTROL!$C$16, $D$11, 100%, $F$11)</f>
        <v>17.8794</v>
      </c>
      <c r="G587" s="8">
        <f>CHOOSE( CONTROL!$C$33, 16.9801, 16.9784) * CHOOSE( CONTROL!$C$16, $D$11, 100%, $F$11)</f>
        <v>16.9801</v>
      </c>
      <c r="H587" s="4">
        <f>CHOOSE( CONTROL!$C$33, 17.9166, 17.915) * CHOOSE(CONTROL!$C$16, $D$11, 100%, $F$11)</f>
        <v>17.916599999999999</v>
      </c>
      <c r="I587" s="8">
        <f>CHOOSE( CONTROL!$C$33, 16.7689, 16.7673) * CHOOSE(CONTROL!$C$16, $D$11, 100%, $F$11)</f>
        <v>16.768899999999999</v>
      </c>
      <c r="J587" s="4">
        <f>CHOOSE( CONTROL!$C$33, 16.635, 16.6334) * CHOOSE(CONTROL!$C$16, $D$11, 100%, $F$11)</f>
        <v>16.635000000000002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1.2927</v>
      </c>
      <c r="Q587" s="9">
        <v>19.688099999999999</v>
      </c>
      <c r="R587" s="9"/>
      <c r="S587" s="11"/>
    </row>
    <row r="588" spans="1:19" ht="15.75">
      <c r="A588" s="13">
        <v>59049</v>
      </c>
      <c r="B588" s="8">
        <f>CHOOSE( CONTROL!$C$33, 15.8288, 15.8272) * CHOOSE(CONTROL!$C$16, $D$11, 100%, $F$11)</f>
        <v>15.828799999999999</v>
      </c>
      <c r="C588" s="8">
        <f>CHOOSE( CONTROL!$C$33, 15.8368, 15.8351) * CHOOSE(CONTROL!$C$16, $D$11, 100%, $F$11)</f>
        <v>15.8368</v>
      </c>
      <c r="D588" s="8">
        <f>CHOOSE( CONTROL!$C$33, 15.8557, 15.854) * CHOOSE( CONTROL!$C$16, $D$11, 100%, $F$11)</f>
        <v>15.855700000000001</v>
      </c>
      <c r="E588" s="12">
        <f>CHOOSE( CONTROL!$C$33, 15.8476, 15.8459) * CHOOSE( CONTROL!$C$16, $D$11, 100%, $F$11)</f>
        <v>15.8476</v>
      </c>
      <c r="F588" s="4">
        <f>CHOOSE( CONTROL!$C$33, 16.5564, 16.5547) * CHOOSE(CONTROL!$C$16, $D$11, 100%, $F$11)</f>
        <v>16.5564</v>
      </c>
      <c r="G588" s="8">
        <f>CHOOSE( CONTROL!$C$33, 15.6726, 15.671) * CHOOSE( CONTROL!$C$16, $D$11, 100%, $F$11)</f>
        <v>15.672599999999999</v>
      </c>
      <c r="H588" s="4">
        <f>CHOOSE( CONTROL!$C$33, 16.6091, 16.6075) * CHOOSE(CONTROL!$C$16, $D$11, 100%, $F$11)</f>
        <v>16.609100000000002</v>
      </c>
      <c r="I588" s="8">
        <f>CHOOSE( CONTROL!$C$33, 15.4845, 15.4829) * CHOOSE(CONTROL!$C$16, $D$11, 100%, $F$11)</f>
        <v>15.484500000000001</v>
      </c>
      <c r="J588" s="4">
        <f>CHOOSE( CONTROL!$C$33, 15.351, 15.3494) * CHOOSE(CONTROL!$C$16, $D$11, 100%, $F$11)</f>
        <v>15.351000000000001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1.2927</v>
      </c>
      <c r="Q588" s="9">
        <v>19.688099999999999</v>
      </c>
      <c r="R588" s="9"/>
      <c r="S588" s="11"/>
    </row>
    <row r="589" spans="1:19" ht="15.75">
      <c r="A589" s="13">
        <v>59079</v>
      </c>
      <c r="B589" s="8">
        <f>CHOOSE( CONTROL!$C$33, 15.4975, 15.4959) * CHOOSE(CONTROL!$C$16, $D$11, 100%, $F$11)</f>
        <v>15.4975</v>
      </c>
      <c r="C589" s="8">
        <f>CHOOSE( CONTROL!$C$33, 15.5055, 15.5038) * CHOOSE(CONTROL!$C$16, $D$11, 100%, $F$11)</f>
        <v>15.5055</v>
      </c>
      <c r="D589" s="8">
        <f>CHOOSE( CONTROL!$C$33, 15.5243, 15.5226) * CHOOSE( CONTROL!$C$16, $D$11, 100%, $F$11)</f>
        <v>15.5243</v>
      </c>
      <c r="E589" s="12">
        <f>CHOOSE( CONTROL!$C$33, 15.5163, 15.5146) * CHOOSE( CONTROL!$C$16, $D$11, 100%, $F$11)</f>
        <v>15.516299999999999</v>
      </c>
      <c r="F589" s="4">
        <f>CHOOSE( CONTROL!$C$33, 16.2251, 16.2234) * CHOOSE(CONTROL!$C$16, $D$11, 100%, $F$11)</f>
        <v>16.225100000000001</v>
      </c>
      <c r="G589" s="8">
        <f>CHOOSE( CONTROL!$C$33, 15.3451, 15.3435) * CHOOSE( CONTROL!$C$16, $D$11, 100%, $F$11)</f>
        <v>15.3451</v>
      </c>
      <c r="H589" s="4">
        <f>CHOOSE( CONTROL!$C$33, 16.2817, 16.2801) * CHOOSE(CONTROL!$C$16, $D$11, 100%, $F$11)</f>
        <v>16.281700000000001</v>
      </c>
      <c r="I589" s="8">
        <f>CHOOSE( CONTROL!$C$33, 15.1625, 15.1609) * CHOOSE(CONTROL!$C$16, $D$11, 100%, $F$11)</f>
        <v>15.1625</v>
      </c>
      <c r="J589" s="4">
        <f>CHOOSE( CONTROL!$C$33, 15.0295, 15.0279) * CHOOSE(CONTROL!$C$16, $D$11, 100%, $F$11)</f>
        <v>15.029500000000001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1.2509999999999999</v>
      </c>
      <c r="Q589" s="9">
        <v>19.053000000000001</v>
      </c>
      <c r="R589" s="9"/>
      <c r="S589" s="11"/>
    </row>
    <row r="590" spans="1:19" ht="15.75">
      <c r="A590" s="13">
        <v>59110</v>
      </c>
      <c r="B590" s="8">
        <f>CHOOSE( CONTROL!$C$33, 16.1831, 16.182) * CHOOSE(CONTROL!$C$16, $D$11, 100%, $F$11)</f>
        <v>16.1831</v>
      </c>
      <c r="C590" s="8">
        <f>CHOOSE( CONTROL!$C$33, 16.1884, 16.1873) * CHOOSE(CONTROL!$C$16, $D$11, 100%, $F$11)</f>
        <v>16.188400000000001</v>
      </c>
      <c r="D590" s="8">
        <f>CHOOSE( CONTROL!$C$33, 16.2128, 16.2118) * CHOOSE( CONTROL!$C$16, $D$11, 100%, $F$11)</f>
        <v>16.212800000000001</v>
      </c>
      <c r="E590" s="12">
        <f>CHOOSE( CONTROL!$C$33, 16.2042, 16.2031) * CHOOSE( CONTROL!$C$16, $D$11, 100%, $F$11)</f>
        <v>16.2042</v>
      </c>
      <c r="F590" s="4">
        <f>CHOOSE( CONTROL!$C$33, 16.9124, 16.9113) * CHOOSE(CONTROL!$C$16, $D$11, 100%, $F$11)</f>
        <v>16.912400000000002</v>
      </c>
      <c r="G590" s="8">
        <f>CHOOSE( CONTROL!$C$33, 16.0245, 16.0235) * CHOOSE( CONTROL!$C$16, $D$11, 100%, $F$11)</f>
        <v>16.0245</v>
      </c>
      <c r="H590" s="4">
        <f>CHOOSE( CONTROL!$C$33, 16.961, 16.9599) * CHOOSE(CONTROL!$C$16, $D$11, 100%, $F$11)</f>
        <v>16.960999999999999</v>
      </c>
      <c r="I590" s="8">
        <f>CHOOSE( CONTROL!$C$33, 15.8307, 15.8297) * CHOOSE(CONTROL!$C$16, $D$11, 100%, $F$11)</f>
        <v>15.8307</v>
      </c>
      <c r="J590" s="4">
        <f>CHOOSE( CONTROL!$C$33, 15.6966, 15.6955) * CHOOSE(CONTROL!$C$16, $D$11, 100%, $F$11)</f>
        <v>15.6966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1.2927</v>
      </c>
      <c r="Q590" s="9">
        <v>19.688099999999999</v>
      </c>
      <c r="R590" s="9"/>
      <c r="S590" s="11"/>
    </row>
    <row r="591" spans="1:19" ht="15.75">
      <c r="A591" s="13">
        <v>59140</v>
      </c>
      <c r="B591" s="8">
        <f>CHOOSE( CONTROL!$C$33, 17.4524, 17.4513) * CHOOSE(CONTROL!$C$16, $D$11, 100%, $F$11)</f>
        <v>17.452400000000001</v>
      </c>
      <c r="C591" s="8">
        <f>CHOOSE( CONTROL!$C$33, 17.4575, 17.4564) * CHOOSE(CONTROL!$C$16, $D$11, 100%, $F$11)</f>
        <v>17.4575</v>
      </c>
      <c r="D591" s="8">
        <f>CHOOSE( CONTROL!$C$33, 17.4479, 17.4468) * CHOOSE( CONTROL!$C$16, $D$11, 100%, $F$11)</f>
        <v>17.447900000000001</v>
      </c>
      <c r="E591" s="12">
        <f>CHOOSE( CONTROL!$C$33, 17.4509, 17.4498) * CHOOSE( CONTROL!$C$16, $D$11, 100%, $F$11)</f>
        <v>17.450900000000001</v>
      </c>
      <c r="F591" s="4">
        <f>CHOOSE( CONTROL!$C$33, 18.1125, 18.1114) * CHOOSE(CONTROL!$C$16, $D$11, 100%, $F$11)</f>
        <v>18.112500000000001</v>
      </c>
      <c r="G591" s="8">
        <f>CHOOSE( CONTROL!$C$33, 17.2659, 17.2649) * CHOOSE( CONTROL!$C$16, $D$11, 100%, $F$11)</f>
        <v>17.265899999999998</v>
      </c>
      <c r="H591" s="4">
        <f>CHOOSE( CONTROL!$C$33, 18.1471, 18.146) * CHOOSE(CONTROL!$C$16, $D$11, 100%, $F$11)</f>
        <v>18.147099999999998</v>
      </c>
      <c r="I591" s="8">
        <f>CHOOSE( CONTROL!$C$33, 17.1229, 17.1219) * CHOOSE(CONTROL!$C$16, $D$11, 100%, $F$11)</f>
        <v>17.122900000000001</v>
      </c>
      <c r="J591" s="4">
        <f>CHOOSE( CONTROL!$C$33, 16.9288, 16.9277) * CHOOSE(CONTROL!$C$16, $D$11, 100%, $F$11)</f>
        <v>16.928799999999999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59171</v>
      </c>
      <c r="B592" s="8">
        <f>CHOOSE( CONTROL!$C$33, 17.4207, 17.4196) * CHOOSE(CONTROL!$C$16, $D$11, 100%, $F$11)</f>
        <v>17.4207</v>
      </c>
      <c r="C592" s="8">
        <f>CHOOSE( CONTROL!$C$33, 17.4257, 17.4247) * CHOOSE(CONTROL!$C$16, $D$11, 100%, $F$11)</f>
        <v>17.425699999999999</v>
      </c>
      <c r="D592" s="8">
        <f>CHOOSE( CONTROL!$C$33, 17.4176, 17.4165) * CHOOSE( CONTROL!$C$16, $D$11, 100%, $F$11)</f>
        <v>17.4176</v>
      </c>
      <c r="E592" s="12">
        <f>CHOOSE( CONTROL!$C$33, 17.42, 17.419) * CHOOSE( CONTROL!$C$16, $D$11, 100%, $F$11)</f>
        <v>17.420000000000002</v>
      </c>
      <c r="F592" s="4">
        <f>CHOOSE( CONTROL!$C$33, 18.0808, 18.0797) * CHOOSE(CONTROL!$C$16, $D$11, 100%, $F$11)</f>
        <v>18.0808</v>
      </c>
      <c r="G592" s="8">
        <f>CHOOSE( CONTROL!$C$33, 17.2356, 17.2345) * CHOOSE( CONTROL!$C$16, $D$11, 100%, $F$11)</f>
        <v>17.235600000000002</v>
      </c>
      <c r="H592" s="4">
        <f>CHOOSE( CONTROL!$C$33, 18.1157, 18.1146) * CHOOSE(CONTROL!$C$16, $D$11, 100%, $F$11)</f>
        <v>18.1157</v>
      </c>
      <c r="I592" s="8">
        <f>CHOOSE( CONTROL!$C$33, 17.0966, 17.0955) * CHOOSE(CONTROL!$C$16, $D$11, 100%, $F$11)</f>
        <v>17.096599999999999</v>
      </c>
      <c r="J592" s="4">
        <f>CHOOSE( CONTROL!$C$33, 16.898, 16.897) * CHOOSE(CONTROL!$C$16, $D$11, 100%, $F$11)</f>
        <v>16.898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59202</v>
      </c>
      <c r="B593" s="8">
        <f>CHOOSE( CONTROL!$C$33, 17.9342, 17.9331) * CHOOSE(CONTROL!$C$16, $D$11, 100%, $F$11)</f>
        <v>17.934200000000001</v>
      </c>
      <c r="C593" s="8">
        <f>CHOOSE( CONTROL!$C$33, 17.9393, 17.9382) * CHOOSE(CONTROL!$C$16, $D$11, 100%, $F$11)</f>
        <v>17.939299999999999</v>
      </c>
      <c r="D593" s="8">
        <f>CHOOSE( CONTROL!$C$33, 17.9419, 17.9409) * CHOOSE( CONTROL!$C$16, $D$11, 100%, $F$11)</f>
        <v>17.9419</v>
      </c>
      <c r="E593" s="12">
        <f>CHOOSE( CONTROL!$C$33, 17.9404, 17.9394) * CHOOSE( CONTROL!$C$16, $D$11, 100%, $F$11)</f>
        <v>17.9404</v>
      </c>
      <c r="F593" s="4">
        <f>CHOOSE( CONTROL!$C$33, 18.5944, 18.5933) * CHOOSE(CONTROL!$C$16, $D$11, 100%, $F$11)</f>
        <v>18.5944</v>
      </c>
      <c r="G593" s="8">
        <f>CHOOSE( CONTROL!$C$33, 17.746, 17.7449) * CHOOSE( CONTROL!$C$16, $D$11, 100%, $F$11)</f>
        <v>17.745999999999999</v>
      </c>
      <c r="H593" s="4">
        <f>CHOOSE( CONTROL!$C$33, 18.6232, 18.6222) * CHOOSE(CONTROL!$C$16, $D$11, 100%, $F$11)</f>
        <v>18.623200000000001</v>
      </c>
      <c r="I593" s="8">
        <f>CHOOSE( CONTROL!$C$33, 17.5667, 17.5657) * CHOOSE(CONTROL!$C$16, $D$11, 100%, $F$11)</f>
        <v>17.566700000000001</v>
      </c>
      <c r="J593" s="4">
        <f>CHOOSE( CONTROL!$C$33, 17.3964, 17.3954) * CHOOSE(CONTROL!$C$16, $D$11, 100%, $F$11)</f>
        <v>17.3964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59230</v>
      </c>
      <c r="B594" s="8">
        <f>CHOOSE( CONTROL!$C$33, 16.7755, 16.7744) * CHOOSE(CONTROL!$C$16, $D$11, 100%, $F$11)</f>
        <v>16.775500000000001</v>
      </c>
      <c r="C594" s="8">
        <f>CHOOSE( CONTROL!$C$33, 16.7805, 16.7795) * CHOOSE(CONTROL!$C$16, $D$11, 100%, $F$11)</f>
        <v>16.7805</v>
      </c>
      <c r="D594" s="8">
        <f>CHOOSE( CONTROL!$C$33, 16.7831, 16.782) * CHOOSE( CONTROL!$C$16, $D$11, 100%, $F$11)</f>
        <v>16.783100000000001</v>
      </c>
      <c r="E594" s="12">
        <f>CHOOSE( CONTROL!$C$33, 16.7816, 16.7805) * CHOOSE( CONTROL!$C$16, $D$11, 100%, $F$11)</f>
        <v>16.781600000000001</v>
      </c>
      <c r="F594" s="4">
        <f>CHOOSE( CONTROL!$C$33, 17.4356, 17.4345) * CHOOSE(CONTROL!$C$16, $D$11, 100%, $F$11)</f>
        <v>17.435600000000001</v>
      </c>
      <c r="G594" s="8">
        <f>CHOOSE( CONTROL!$C$33, 16.6007, 16.5996) * CHOOSE( CONTROL!$C$16, $D$11, 100%, $F$11)</f>
        <v>16.6007</v>
      </c>
      <c r="H594" s="4">
        <f>CHOOSE( CONTROL!$C$33, 17.478, 17.477) * CHOOSE(CONTROL!$C$16, $D$11, 100%, $F$11)</f>
        <v>17.478000000000002</v>
      </c>
      <c r="I594" s="8">
        <f>CHOOSE( CONTROL!$C$33, 16.4413, 16.4403) * CHOOSE(CONTROL!$C$16, $D$11, 100%, $F$11)</f>
        <v>16.441299999999998</v>
      </c>
      <c r="J594" s="4">
        <f>CHOOSE( CONTROL!$C$33, 16.2718, 16.2708) * CHOOSE(CONTROL!$C$16, $D$11, 100%, $F$11)</f>
        <v>16.271799999999999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59261</v>
      </c>
      <c r="B595" s="8">
        <f>CHOOSE( CONTROL!$C$33, 16.4186, 16.4175) * CHOOSE(CONTROL!$C$16, $D$11, 100%, $F$11)</f>
        <v>16.418600000000001</v>
      </c>
      <c r="C595" s="8">
        <f>CHOOSE( CONTROL!$C$33, 16.4236, 16.4226) * CHOOSE(CONTROL!$C$16, $D$11, 100%, $F$11)</f>
        <v>16.4236</v>
      </c>
      <c r="D595" s="8">
        <f>CHOOSE( CONTROL!$C$33, 16.4255, 16.4244) * CHOOSE( CONTROL!$C$16, $D$11, 100%, $F$11)</f>
        <v>16.4255</v>
      </c>
      <c r="E595" s="12">
        <f>CHOOSE( CONTROL!$C$33, 16.4243, 16.4232) * CHOOSE( CONTROL!$C$16, $D$11, 100%, $F$11)</f>
        <v>16.424299999999999</v>
      </c>
      <c r="F595" s="4">
        <f>CHOOSE( CONTROL!$C$33, 17.0787, 17.0776) * CHOOSE(CONTROL!$C$16, $D$11, 100%, $F$11)</f>
        <v>17.078700000000001</v>
      </c>
      <c r="G595" s="8">
        <f>CHOOSE( CONTROL!$C$33, 16.2475, 16.2464) * CHOOSE( CONTROL!$C$16, $D$11, 100%, $F$11)</f>
        <v>16.247499999999999</v>
      </c>
      <c r="H595" s="4">
        <f>CHOOSE( CONTROL!$C$33, 17.1253, 17.1243) * CHOOSE(CONTROL!$C$16, $D$11, 100%, $F$11)</f>
        <v>17.125299999999999</v>
      </c>
      <c r="I595" s="8">
        <f>CHOOSE( CONTROL!$C$33, 16.0926, 16.0916) * CHOOSE(CONTROL!$C$16, $D$11, 100%, $F$11)</f>
        <v>16.092600000000001</v>
      </c>
      <c r="J595" s="4">
        <f>CHOOSE( CONTROL!$C$33, 15.9255, 15.9244) * CHOOSE(CONTROL!$C$16, $D$11, 100%, $F$11)</f>
        <v>15.9255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59291</v>
      </c>
      <c r="B596" s="8">
        <f>CHOOSE( CONTROL!$C$33, 16.6687, 16.6676) * CHOOSE(CONTROL!$C$16, $D$11, 100%, $F$11)</f>
        <v>16.668700000000001</v>
      </c>
      <c r="C596" s="8">
        <f>CHOOSE( CONTROL!$C$33, 16.6732, 16.6721) * CHOOSE(CONTROL!$C$16, $D$11, 100%, $F$11)</f>
        <v>16.673200000000001</v>
      </c>
      <c r="D596" s="8">
        <f>CHOOSE( CONTROL!$C$33, 16.6976, 16.6965) * CHOOSE( CONTROL!$C$16, $D$11, 100%, $F$11)</f>
        <v>16.697600000000001</v>
      </c>
      <c r="E596" s="12">
        <f>CHOOSE( CONTROL!$C$33, 16.689, 16.6879) * CHOOSE( CONTROL!$C$16, $D$11, 100%, $F$11)</f>
        <v>16.689</v>
      </c>
      <c r="F596" s="4">
        <f>CHOOSE( CONTROL!$C$33, 17.3976, 17.3966) * CHOOSE(CONTROL!$C$16, $D$11, 100%, $F$11)</f>
        <v>17.397600000000001</v>
      </c>
      <c r="G596" s="8">
        <f>CHOOSE( CONTROL!$C$33, 16.5037, 16.5026) * CHOOSE( CONTROL!$C$16, $D$11, 100%, $F$11)</f>
        <v>16.503699999999998</v>
      </c>
      <c r="H596" s="4">
        <f>CHOOSE( CONTROL!$C$33, 17.4405, 17.4395) * CHOOSE(CONTROL!$C$16, $D$11, 100%, $F$11)</f>
        <v>17.4405</v>
      </c>
      <c r="I596" s="8">
        <f>CHOOSE( CONTROL!$C$33, 16.3, 16.299) * CHOOSE(CONTROL!$C$16, $D$11, 100%, $F$11)</f>
        <v>16.3</v>
      </c>
      <c r="J596" s="4">
        <f>CHOOSE( CONTROL!$C$33, 16.1675, 16.1664) * CHOOSE(CONTROL!$C$16, $D$11, 100%, $F$11)</f>
        <v>16.1675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1.2509999999999999</v>
      </c>
      <c r="Q596" s="9">
        <v>19.053000000000001</v>
      </c>
      <c r="R596" s="9"/>
      <c r="S596" s="11"/>
    </row>
    <row r="597" spans="1:19" ht="15.75">
      <c r="A597" s="13">
        <v>59322</v>
      </c>
      <c r="B597" s="8">
        <f>CHOOSE( CONTROL!$C$33, 17.1145, 17.1129) * CHOOSE(CONTROL!$C$16, $D$11, 100%, $F$11)</f>
        <v>17.1145</v>
      </c>
      <c r="C597" s="8">
        <f>CHOOSE( CONTROL!$C$33, 17.1225, 17.1208) * CHOOSE(CONTROL!$C$16, $D$11, 100%, $F$11)</f>
        <v>17.122499999999999</v>
      </c>
      <c r="D597" s="8">
        <f>CHOOSE( CONTROL!$C$33, 17.1408, 17.1391) * CHOOSE( CONTROL!$C$16, $D$11, 100%, $F$11)</f>
        <v>17.140799999999999</v>
      </c>
      <c r="E597" s="12">
        <f>CHOOSE( CONTROL!$C$33, 17.1329, 17.1313) * CHOOSE( CONTROL!$C$16, $D$11, 100%, $F$11)</f>
        <v>17.132899999999999</v>
      </c>
      <c r="F597" s="4">
        <f>CHOOSE( CONTROL!$C$33, 17.8421, 17.8404) * CHOOSE(CONTROL!$C$16, $D$11, 100%, $F$11)</f>
        <v>17.842099999999999</v>
      </c>
      <c r="G597" s="8">
        <f>CHOOSE( CONTROL!$C$33, 16.9428, 16.9412) * CHOOSE( CONTROL!$C$16, $D$11, 100%, $F$11)</f>
        <v>16.942799999999998</v>
      </c>
      <c r="H597" s="4">
        <f>CHOOSE( CONTROL!$C$33, 17.8798, 17.8781) * CHOOSE(CONTROL!$C$16, $D$11, 100%, $F$11)</f>
        <v>17.879799999999999</v>
      </c>
      <c r="I597" s="8">
        <f>CHOOSE( CONTROL!$C$33, 16.731, 16.7294) * CHOOSE(CONTROL!$C$16, $D$11, 100%, $F$11)</f>
        <v>16.731000000000002</v>
      </c>
      <c r="J597" s="4">
        <f>CHOOSE( CONTROL!$C$33, 16.5988, 16.5972) * CHOOSE(CONTROL!$C$16, $D$11, 100%, $F$11)</f>
        <v>16.598800000000001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1.2927</v>
      </c>
      <c r="Q597" s="9">
        <v>19.688099999999999</v>
      </c>
      <c r="R597" s="9"/>
      <c r="S597" s="11"/>
    </row>
    <row r="598" spans="1:19" ht="15.75">
      <c r="A598" s="13">
        <v>59352</v>
      </c>
      <c r="B598" s="8">
        <f>CHOOSE( CONTROL!$C$33, 16.8396, 16.8379) * CHOOSE(CONTROL!$C$16, $D$11, 100%, $F$11)</f>
        <v>16.839600000000001</v>
      </c>
      <c r="C598" s="8">
        <f>CHOOSE( CONTROL!$C$33, 16.8475, 16.8459) * CHOOSE(CONTROL!$C$16, $D$11, 100%, $F$11)</f>
        <v>16.8475</v>
      </c>
      <c r="D598" s="8">
        <f>CHOOSE( CONTROL!$C$33, 16.8661, 16.8644) * CHOOSE( CONTROL!$C$16, $D$11, 100%, $F$11)</f>
        <v>16.866099999999999</v>
      </c>
      <c r="E598" s="12">
        <f>CHOOSE( CONTROL!$C$33, 16.8582, 16.8565) * CHOOSE( CONTROL!$C$16, $D$11, 100%, $F$11)</f>
        <v>16.8582</v>
      </c>
      <c r="F598" s="4">
        <f>CHOOSE( CONTROL!$C$33, 17.5671, 17.5655) * CHOOSE(CONTROL!$C$16, $D$11, 100%, $F$11)</f>
        <v>17.5671</v>
      </c>
      <c r="G598" s="8">
        <f>CHOOSE( CONTROL!$C$33, 16.6713, 16.6696) * CHOOSE( CONTROL!$C$16, $D$11, 100%, $F$11)</f>
        <v>16.671299999999999</v>
      </c>
      <c r="H598" s="4">
        <f>CHOOSE( CONTROL!$C$33, 17.608, 17.6064) * CHOOSE(CONTROL!$C$16, $D$11, 100%, $F$11)</f>
        <v>17.608000000000001</v>
      </c>
      <c r="I598" s="8">
        <f>CHOOSE( CONTROL!$C$33, 16.4648, 16.4632) * CHOOSE(CONTROL!$C$16, $D$11, 100%, $F$11)</f>
        <v>16.4648</v>
      </c>
      <c r="J598" s="4">
        <f>CHOOSE( CONTROL!$C$33, 16.332, 16.3304) * CHOOSE(CONTROL!$C$16, $D$11, 100%, $F$11)</f>
        <v>16.332000000000001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1.2509999999999999</v>
      </c>
      <c r="Q598" s="9">
        <v>19.053000000000001</v>
      </c>
      <c r="R598" s="9"/>
      <c r="S598" s="11"/>
    </row>
    <row r="599" spans="1:19" ht="15.75">
      <c r="A599" s="13">
        <v>59383</v>
      </c>
      <c r="B599" s="8">
        <f>CHOOSE( CONTROL!$C$33, 17.5636, 17.562) * CHOOSE(CONTROL!$C$16, $D$11, 100%, $F$11)</f>
        <v>17.563600000000001</v>
      </c>
      <c r="C599" s="8">
        <f>CHOOSE( CONTROL!$C$33, 17.5716, 17.5699) * CHOOSE(CONTROL!$C$16, $D$11, 100%, $F$11)</f>
        <v>17.5716</v>
      </c>
      <c r="D599" s="8">
        <f>CHOOSE( CONTROL!$C$33, 17.5904, 17.5887) * CHOOSE( CONTROL!$C$16, $D$11, 100%, $F$11)</f>
        <v>17.590399999999999</v>
      </c>
      <c r="E599" s="12">
        <f>CHOOSE( CONTROL!$C$33, 17.5824, 17.5807) * CHOOSE( CONTROL!$C$16, $D$11, 100%, $F$11)</f>
        <v>17.5824</v>
      </c>
      <c r="F599" s="4">
        <f>CHOOSE( CONTROL!$C$33, 18.2912, 18.2895) * CHOOSE(CONTROL!$C$16, $D$11, 100%, $F$11)</f>
        <v>18.2912</v>
      </c>
      <c r="G599" s="8">
        <f>CHOOSE( CONTROL!$C$33, 17.387, 17.3854) * CHOOSE( CONTROL!$C$16, $D$11, 100%, $F$11)</f>
        <v>17.387</v>
      </c>
      <c r="H599" s="4">
        <f>CHOOSE( CONTROL!$C$33, 18.3236, 18.322) * CHOOSE(CONTROL!$C$16, $D$11, 100%, $F$11)</f>
        <v>18.323599999999999</v>
      </c>
      <c r="I599" s="8">
        <f>CHOOSE( CONTROL!$C$33, 17.1687, 17.1671) * CHOOSE(CONTROL!$C$16, $D$11, 100%, $F$11)</f>
        <v>17.168700000000001</v>
      </c>
      <c r="J599" s="4">
        <f>CHOOSE( CONTROL!$C$33, 17.0347, 17.0331) * CHOOSE(CONTROL!$C$16, $D$11, 100%, $F$11)</f>
        <v>17.034700000000001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1.2927</v>
      </c>
      <c r="Q599" s="9">
        <v>19.688099999999999</v>
      </c>
      <c r="R599" s="9"/>
      <c r="S599" s="11"/>
    </row>
    <row r="600" spans="1:19" ht="15.75">
      <c r="A600" s="13">
        <v>59414</v>
      </c>
      <c r="B600" s="8">
        <f>CHOOSE( CONTROL!$C$33, 16.2088, 16.2072) * CHOOSE(CONTROL!$C$16, $D$11, 100%, $F$11)</f>
        <v>16.2088</v>
      </c>
      <c r="C600" s="8">
        <f>CHOOSE( CONTROL!$C$33, 16.2168, 16.2151) * CHOOSE(CONTROL!$C$16, $D$11, 100%, $F$11)</f>
        <v>16.216799999999999</v>
      </c>
      <c r="D600" s="8">
        <f>CHOOSE( CONTROL!$C$33, 16.2357, 16.234) * CHOOSE( CONTROL!$C$16, $D$11, 100%, $F$11)</f>
        <v>16.235700000000001</v>
      </c>
      <c r="E600" s="12">
        <f>CHOOSE( CONTROL!$C$33, 16.2276, 16.2259) * CHOOSE( CONTROL!$C$16, $D$11, 100%, $F$11)</f>
        <v>16.227599999999999</v>
      </c>
      <c r="F600" s="4">
        <f>CHOOSE( CONTROL!$C$33, 16.9364, 16.9347) * CHOOSE(CONTROL!$C$16, $D$11, 100%, $F$11)</f>
        <v>16.936399999999999</v>
      </c>
      <c r="G600" s="8">
        <f>CHOOSE( CONTROL!$C$33, 16.0482, 16.0465) * CHOOSE( CONTROL!$C$16, $D$11, 100%, $F$11)</f>
        <v>16.048200000000001</v>
      </c>
      <c r="H600" s="4">
        <f>CHOOSE( CONTROL!$C$33, 16.9847, 16.983) * CHOOSE(CONTROL!$C$16, $D$11, 100%, $F$11)</f>
        <v>16.9847</v>
      </c>
      <c r="I600" s="8">
        <f>CHOOSE( CONTROL!$C$33, 15.8535, 15.8519) * CHOOSE(CONTROL!$C$16, $D$11, 100%, $F$11)</f>
        <v>15.8535</v>
      </c>
      <c r="J600" s="4">
        <f>CHOOSE( CONTROL!$C$33, 15.7198, 15.7182) * CHOOSE(CONTROL!$C$16, $D$11, 100%, $F$11)</f>
        <v>15.719799999999999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1.2927</v>
      </c>
      <c r="Q600" s="9">
        <v>19.688099999999999</v>
      </c>
      <c r="R600" s="9"/>
      <c r="S600" s="11"/>
    </row>
    <row r="601" spans="1:19" ht="15.75">
      <c r="A601" s="13">
        <v>59444</v>
      </c>
      <c r="B601" s="8">
        <f>CHOOSE( CONTROL!$C$33, 15.8696, 15.8679) * CHOOSE(CONTROL!$C$16, $D$11, 100%, $F$11)</f>
        <v>15.8696</v>
      </c>
      <c r="C601" s="8">
        <f>CHOOSE( CONTROL!$C$33, 15.8775, 15.8759) * CHOOSE(CONTROL!$C$16, $D$11, 100%, $F$11)</f>
        <v>15.8775</v>
      </c>
      <c r="D601" s="8">
        <f>CHOOSE( CONTROL!$C$33, 15.8963, 15.8947) * CHOOSE( CONTROL!$C$16, $D$11, 100%, $F$11)</f>
        <v>15.8963</v>
      </c>
      <c r="E601" s="12">
        <f>CHOOSE( CONTROL!$C$33, 15.8883, 15.8867) * CHOOSE( CONTROL!$C$16, $D$11, 100%, $F$11)</f>
        <v>15.888299999999999</v>
      </c>
      <c r="F601" s="4">
        <f>CHOOSE( CONTROL!$C$33, 16.5971, 16.5955) * CHOOSE(CONTROL!$C$16, $D$11, 100%, $F$11)</f>
        <v>16.597100000000001</v>
      </c>
      <c r="G601" s="8">
        <f>CHOOSE( CONTROL!$C$33, 15.7128, 15.7112) * CHOOSE( CONTROL!$C$16, $D$11, 100%, $F$11)</f>
        <v>15.7128</v>
      </c>
      <c r="H601" s="4">
        <f>CHOOSE( CONTROL!$C$33, 16.6494, 16.6478) * CHOOSE(CONTROL!$C$16, $D$11, 100%, $F$11)</f>
        <v>16.6494</v>
      </c>
      <c r="I601" s="8">
        <f>CHOOSE( CONTROL!$C$33, 15.5237, 15.5221) * CHOOSE(CONTROL!$C$16, $D$11, 100%, $F$11)</f>
        <v>15.5237</v>
      </c>
      <c r="J601" s="4">
        <f>CHOOSE( CONTROL!$C$33, 15.3906, 15.389) * CHOOSE(CONTROL!$C$16, $D$11, 100%, $F$11)</f>
        <v>15.390599999999999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1.2509999999999999</v>
      </c>
      <c r="Q601" s="9">
        <v>19.053000000000001</v>
      </c>
      <c r="R601" s="9"/>
      <c r="S601" s="11"/>
    </row>
    <row r="602" spans="1:19" ht="15.75">
      <c r="A602" s="13">
        <v>59475</v>
      </c>
      <c r="B602" s="8">
        <f>CHOOSE( CONTROL!$C$33, 16.5717, 16.5706) * CHOOSE(CONTROL!$C$16, $D$11, 100%, $F$11)</f>
        <v>16.5717</v>
      </c>
      <c r="C602" s="8">
        <f>CHOOSE( CONTROL!$C$33, 16.577, 16.5759) * CHOOSE(CONTROL!$C$16, $D$11, 100%, $F$11)</f>
        <v>16.577000000000002</v>
      </c>
      <c r="D602" s="8">
        <f>CHOOSE( CONTROL!$C$33, 16.6014, 16.6003) * CHOOSE( CONTROL!$C$16, $D$11, 100%, $F$11)</f>
        <v>16.601400000000002</v>
      </c>
      <c r="E602" s="12">
        <f>CHOOSE( CONTROL!$C$33, 16.5928, 16.5917) * CHOOSE( CONTROL!$C$16, $D$11, 100%, $F$11)</f>
        <v>16.5928</v>
      </c>
      <c r="F602" s="4">
        <f>CHOOSE( CONTROL!$C$33, 17.301, 17.2999) * CHOOSE(CONTROL!$C$16, $D$11, 100%, $F$11)</f>
        <v>17.300999999999998</v>
      </c>
      <c r="G602" s="8">
        <f>CHOOSE( CONTROL!$C$33, 16.4086, 16.4075) * CHOOSE( CONTROL!$C$16, $D$11, 100%, $F$11)</f>
        <v>16.4086</v>
      </c>
      <c r="H602" s="4">
        <f>CHOOSE( CONTROL!$C$33, 17.345, 17.3439) * CHOOSE(CONTROL!$C$16, $D$11, 100%, $F$11)</f>
        <v>17.344999999999999</v>
      </c>
      <c r="I602" s="8">
        <f>CHOOSE( CONTROL!$C$33, 16.208, 16.207) * CHOOSE(CONTROL!$C$16, $D$11, 100%, $F$11)</f>
        <v>16.207999999999998</v>
      </c>
      <c r="J602" s="4">
        <f>CHOOSE( CONTROL!$C$33, 16.0737, 16.0726) * CHOOSE(CONTROL!$C$16, $D$11, 100%, $F$11)</f>
        <v>16.073699999999999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1.2927</v>
      </c>
      <c r="Q602" s="9">
        <v>19.688099999999999</v>
      </c>
      <c r="R602" s="9"/>
      <c r="S602" s="11"/>
    </row>
    <row r="603" spans="1:19" ht="15.75">
      <c r="A603" s="13">
        <v>59505</v>
      </c>
      <c r="B603" s="8">
        <f>CHOOSE( CONTROL!$C$33, 17.8715, 17.8704) * CHOOSE(CONTROL!$C$16, $D$11, 100%, $F$11)</f>
        <v>17.871500000000001</v>
      </c>
      <c r="C603" s="8">
        <f>CHOOSE( CONTROL!$C$33, 17.8766, 17.8755) * CHOOSE(CONTROL!$C$16, $D$11, 100%, $F$11)</f>
        <v>17.8766</v>
      </c>
      <c r="D603" s="8">
        <f>CHOOSE( CONTROL!$C$33, 17.867, 17.8659) * CHOOSE( CONTROL!$C$16, $D$11, 100%, $F$11)</f>
        <v>17.867000000000001</v>
      </c>
      <c r="E603" s="12">
        <f>CHOOSE( CONTROL!$C$33, 17.87, 17.8689) * CHOOSE( CONTROL!$C$16, $D$11, 100%, $F$11)</f>
        <v>17.87</v>
      </c>
      <c r="F603" s="4">
        <f>CHOOSE( CONTROL!$C$33, 18.5316, 18.5305) * CHOOSE(CONTROL!$C$16, $D$11, 100%, $F$11)</f>
        <v>18.531600000000001</v>
      </c>
      <c r="G603" s="8">
        <f>CHOOSE( CONTROL!$C$33, 17.6801, 17.679) * CHOOSE( CONTROL!$C$16, $D$11, 100%, $F$11)</f>
        <v>17.680099999999999</v>
      </c>
      <c r="H603" s="4">
        <f>CHOOSE( CONTROL!$C$33, 18.5612, 18.5602) * CHOOSE(CONTROL!$C$16, $D$11, 100%, $F$11)</f>
        <v>18.561199999999999</v>
      </c>
      <c r="I603" s="8">
        <f>CHOOSE( CONTROL!$C$33, 17.5299, 17.5288) * CHOOSE(CONTROL!$C$16, $D$11, 100%, $F$11)</f>
        <v>17.529900000000001</v>
      </c>
      <c r="J603" s="4">
        <f>CHOOSE( CONTROL!$C$33, 17.3355, 17.3345) * CHOOSE(CONTROL!$C$16, $D$11, 100%, $F$11)</f>
        <v>17.3355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59536</v>
      </c>
      <c r="B604" s="8">
        <f>CHOOSE( CONTROL!$C$33, 17.839, 17.8379) * CHOOSE(CONTROL!$C$16, $D$11, 100%, $F$11)</f>
        <v>17.838999999999999</v>
      </c>
      <c r="C604" s="8">
        <f>CHOOSE( CONTROL!$C$33, 17.8441, 17.843) * CHOOSE(CONTROL!$C$16, $D$11, 100%, $F$11)</f>
        <v>17.844100000000001</v>
      </c>
      <c r="D604" s="8">
        <f>CHOOSE( CONTROL!$C$33, 17.8359, 17.8348) * CHOOSE( CONTROL!$C$16, $D$11, 100%, $F$11)</f>
        <v>17.835899999999999</v>
      </c>
      <c r="E604" s="12">
        <f>CHOOSE( CONTROL!$C$33, 17.8384, 17.8373) * CHOOSE( CONTROL!$C$16, $D$11, 100%, $F$11)</f>
        <v>17.8384</v>
      </c>
      <c r="F604" s="4">
        <f>CHOOSE( CONTROL!$C$33, 18.4991, 18.498) * CHOOSE(CONTROL!$C$16, $D$11, 100%, $F$11)</f>
        <v>18.499099999999999</v>
      </c>
      <c r="G604" s="8">
        <f>CHOOSE( CONTROL!$C$33, 17.649, 17.648) * CHOOSE( CONTROL!$C$16, $D$11, 100%, $F$11)</f>
        <v>17.649000000000001</v>
      </c>
      <c r="H604" s="4">
        <f>CHOOSE( CONTROL!$C$33, 18.5291, 18.5281) * CHOOSE(CONTROL!$C$16, $D$11, 100%, $F$11)</f>
        <v>18.5291</v>
      </c>
      <c r="I604" s="8">
        <f>CHOOSE( CONTROL!$C$33, 17.5028, 17.5017) * CHOOSE(CONTROL!$C$16, $D$11, 100%, $F$11)</f>
        <v>17.502800000000001</v>
      </c>
      <c r="J604" s="4">
        <f>CHOOSE( CONTROL!$C$33, 17.304, 17.3029) * CHOOSE(CONTROL!$C$16, $D$11, 100%, $F$11)</f>
        <v>17.303999999999998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59567</v>
      </c>
      <c r="B605" s="8">
        <f>CHOOSE( CONTROL!$C$33, 18.3649, 18.3638) * CHOOSE(CONTROL!$C$16, $D$11, 100%, $F$11)</f>
        <v>18.364899999999999</v>
      </c>
      <c r="C605" s="8">
        <f>CHOOSE( CONTROL!$C$33, 18.37, 18.3689) * CHOOSE(CONTROL!$C$16, $D$11, 100%, $F$11)</f>
        <v>18.37</v>
      </c>
      <c r="D605" s="8">
        <f>CHOOSE( CONTROL!$C$33, 18.3726, 18.3715) * CHOOSE( CONTROL!$C$16, $D$11, 100%, $F$11)</f>
        <v>18.372599999999998</v>
      </c>
      <c r="E605" s="12">
        <f>CHOOSE( CONTROL!$C$33, 18.3711, 18.37) * CHOOSE( CONTROL!$C$16, $D$11, 100%, $F$11)</f>
        <v>18.371099999999998</v>
      </c>
      <c r="F605" s="4">
        <f>CHOOSE( CONTROL!$C$33, 19.025, 19.0239) * CHOOSE(CONTROL!$C$16, $D$11, 100%, $F$11)</f>
        <v>19.024999999999999</v>
      </c>
      <c r="G605" s="8">
        <f>CHOOSE( CONTROL!$C$33, 18.1716, 18.1705) * CHOOSE( CONTROL!$C$16, $D$11, 100%, $F$11)</f>
        <v>18.171600000000002</v>
      </c>
      <c r="H605" s="4">
        <f>CHOOSE( CONTROL!$C$33, 19.0489, 19.0478) * CHOOSE(CONTROL!$C$16, $D$11, 100%, $F$11)</f>
        <v>19.0489</v>
      </c>
      <c r="I605" s="8">
        <f>CHOOSE( CONTROL!$C$33, 17.9849, 17.9838) * CHOOSE(CONTROL!$C$16, $D$11, 100%, $F$11)</f>
        <v>17.9849</v>
      </c>
      <c r="J605" s="4">
        <f>CHOOSE( CONTROL!$C$33, 17.8144, 17.8133) * CHOOSE(CONTROL!$C$16, $D$11, 100%, $F$11)</f>
        <v>17.814399999999999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59595</v>
      </c>
      <c r="B606" s="8">
        <f>CHOOSE( CONTROL!$C$33, 17.1783, 17.1772) * CHOOSE(CONTROL!$C$16, $D$11, 100%, $F$11)</f>
        <v>17.1783</v>
      </c>
      <c r="C606" s="8">
        <f>CHOOSE( CONTROL!$C$33, 17.1834, 17.1823) * CHOOSE(CONTROL!$C$16, $D$11, 100%, $F$11)</f>
        <v>17.183399999999999</v>
      </c>
      <c r="D606" s="8">
        <f>CHOOSE( CONTROL!$C$33, 17.1859, 17.1848) * CHOOSE( CONTROL!$C$16, $D$11, 100%, $F$11)</f>
        <v>17.1859</v>
      </c>
      <c r="E606" s="12">
        <f>CHOOSE( CONTROL!$C$33, 17.1844, 17.1833) * CHOOSE( CONTROL!$C$16, $D$11, 100%, $F$11)</f>
        <v>17.1844</v>
      </c>
      <c r="F606" s="4">
        <f>CHOOSE( CONTROL!$C$33, 17.8384, 17.8373) * CHOOSE(CONTROL!$C$16, $D$11, 100%, $F$11)</f>
        <v>17.8384</v>
      </c>
      <c r="G606" s="8">
        <f>CHOOSE( CONTROL!$C$33, 16.9988, 16.9978) * CHOOSE( CONTROL!$C$16, $D$11, 100%, $F$11)</f>
        <v>16.998799999999999</v>
      </c>
      <c r="H606" s="4">
        <f>CHOOSE( CONTROL!$C$33, 17.8762, 17.8751) * CHOOSE(CONTROL!$C$16, $D$11, 100%, $F$11)</f>
        <v>17.876200000000001</v>
      </c>
      <c r="I606" s="8">
        <f>CHOOSE( CONTROL!$C$33, 16.8325, 16.8314) * CHOOSE(CONTROL!$C$16, $D$11, 100%, $F$11)</f>
        <v>16.8325</v>
      </c>
      <c r="J606" s="4">
        <f>CHOOSE( CONTROL!$C$33, 16.6628, 16.6617) * CHOOSE(CONTROL!$C$16, $D$11, 100%, $F$11)</f>
        <v>16.662800000000001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59626</v>
      </c>
      <c r="B607" s="8">
        <f>CHOOSE( CONTROL!$C$33, 16.8128, 16.8117) * CHOOSE(CONTROL!$C$16, $D$11, 100%, $F$11)</f>
        <v>16.812799999999999</v>
      </c>
      <c r="C607" s="8">
        <f>CHOOSE( CONTROL!$C$33, 16.8179, 16.8168) * CHOOSE(CONTROL!$C$16, $D$11, 100%, $F$11)</f>
        <v>16.817900000000002</v>
      </c>
      <c r="D607" s="8">
        <f>CHOOSE( CONTROL!$C$33, 16.8198, 16.8187) * CHOOSE( CONTROL!$C$16, $D$11, 100%, $F$11)</f>
        <v>16.819800000000001</v>
      </c>
      <c r="E607" s="12">
        <f>CHOOSE( CONTROL!$C$33, 16.8186, 16.8175) * CHOOSE( CONTROL!$C$16, $D$11, 100%, $F$11)</f>
        <v>16.8186</v>
      </c>
      <c r="F607" s="4">
        <f>CHOOSE( CONTROL!$C$33, 17.4729, 17.4719) * CHOOSE(CONTROL!$C$16, $D$11, 100%, $F$11)</f>
        <v>17.472899999999999</v>
      </c>
      <c r="G607" s="8">
        <f>CHOOSE( CONTROL!$C$33, 16.6371, 16.6361) * CHOOSE( CONTROL!$C$16, $D$11, 100%, $F$11)</f>
        <v>16.6371</v>
      </c>
      <c r="H607" s="4">
        <f>CHOOSE( CONTROL!$C$33, 17.515, 17.5139) * CHOOSE(CONTROL!$C$16, $D$11, 100%, $F$11)</f>
        <v>17.515000000000001</v>
      </c>
      <c r="I607" s="8">
        <f>CHOOSE( CONTROL!$C$33, 16.4755, 16.4744) * CHOOSE(CONTROL!$C$16, $D$11, 100%, $F$11)</f>
        <v>16.4755</v>
      </c>
      <c r="J607" s="4">
        <f>CHOOSE( CONTROL!$C$33, 16.3081, 16.307) * CHOOSE(CONTROL!$C$16, $D$11, 100%, $F$11)</f>
        <v>16.3081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59656</v>
      </c>
      <c r="B608" s="8">
        <f>CHOOSE( CONTROL!$C$33, 17.069, 17.0679) * CHOOSE(CONTROL!$C$16, $D$11, 100%, $F$11)</f>
        <v>17.068999999999999</v>
      </c>
      <c r="C608" s="8">
        <f>CHOOSE( CONTROL!$C$33, 17.0735, 17.0724) * CHOOSE(CONTROL!$C$16, $D$11, 100%, $F$11)</f>
        <v>17.073499999999999</v>
      </c>
      <c r="D608" s="8">
        <f>CHOOSE( CONTROL!$C$33, 17.0978, 17.0967) * CHOOSE( CONTROL!$C$16, $D$11, 100%, $F$11)</f>
        <v>17.097799999999999</v>
      </c>
      <c r="E608" s="12">
        <f>CHOOSE( CONTROL!$C$33, 17.0893, 17.0882) * CHOOSE( CONTROL!$C$16, $D$11, 100%, $F$11)</f>
        <v>17.089300000000001</v>
      </c>
      <c r="F608" s="4">
        <f>CHOOSE( CONTROL!$C$33, 17.7979, 17.7968) * CHOOSE(CONTROL!$C$16, $D$11, 100%, $F$11)</f>
        <v>17.797899999999998</v>
      </c>
      <c r="G608" s="8">
        <f>CHOOSE( CONTROL!$C$33, 16.8992, 16.8982) * CHOOSE( CONTROL!$C$16, $D$11, 100%, $F$11)</f>
        <v>16.8992</v>
      </c>
      <c r="H608" s="4">
        <f>CHOOSE( CONTROL!$C$33, 17.8361, 17.835) * CHOOSE(CONTROL!$C$16, $D$11, 100%, $F$11)</f>
        <v>17.836099999999998</v>
      </c>
      <c r="I608" s="8">
        <f>CHOOSE( CONTROL!$C$33, 16.6887, 16.6876) * CHOOSE(CONTROL!$C$16, $D$11, 100%, $F$11)</f>
        <v>16.688700000000001</v>
      </c>
      <c r="J608" s="4">
        <f>CHOOSE( CONTROL!$C$33, 16.5559, 16.5549) * CHOOSE(CONTROL!$C$16, $D$11, 100%, $F$11)</f>
        <v>16.555900000000001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1.2509999999999999</v>
      </c>
      <c r="Q608" s="9">
        <v>19.053000000000001</v>
      </c>
      <c r="R608" s="9"/>
      <c r="S608" s="11"/>
    </row>
    <row r="609" spans="1:19" ht="15.75">
      <c r="A609" s="13">
        <v>59687</v>
      </c>
      <c r="B609" s="8">
        <f>CHOOSE( CONTROL!$C$33, 17.5254, 17.5238) * CHOOSE(CONTROL!$C$16, $D$11, 100%, $F$11)</f>
        <v>17.525400000000001</v>
      </c>
      <c r="C609" s="8">
        <f>CHOOSE( CONTROL!$C$33, 17.5334, 17.5317) * CHOOSE(CONTROL!$C$16, $D$11, 100%, $F$11)</f>
        <v>17.5334</v>
      </c>
      <c r="D609" s="8">
        <f>CHOOSE( CONTROL!$C$33, 17.5517, 17.5501) * CHOOSE( CONTROL!$C$16, $D$11, 100%, $F$11)</f>
        <v>17.5517</v>
      </c>
      <c r="E609" s="12">
        <f>CHOOSE( CONTROL!$C$33, 17.5438, 17.5422) * CHOOSE( CONTROL!$C$16, $D$11, 100%, $F$11)</f>
        <v>17.543800000000001</v>
      </c>
      <c r="F609" s="4">
        <f>CHOOSE( CONTROL!$C$33, 18.253, 18.2513) * CHOOSE(CONTROL!$C$16, $D$11, 100%, $F$11)</f>
        <v>18.253</v>
      </c>
      <c r="G609" s="8">
        <f>CHOOSE( CONTROL!$C$33, 17.3489, 17.3473) * CHOOSE( CONTROL!$C$16, $D$11, 100%, $F$11)</f>
        <v>17.3489</v>
      </c>
      <c r="H609" s="4">
        <f>CHOOSE( CONTROL!$C$33, 18.2859, 18.2842) * CHOOSE(CONTROL!$C$16, $D$11, 100%, $F$11)</f>
        <v>18.285900000000002</v>
      </c>
      <c r="I609" s="8">
        <f>CHOOSE( CONTROL!$C$33, 17.13, 17.1284) * CHOOSE(CONTROL!$C$16, $D$11, 100%, $F$11)</f>
        <v>17.13</v>
      </c>
      <c r="J609" s="4">
        <f>CHOOSE( CONTROL!$C$33, 16.9976, 16.996) * CHOOSE(CONTROL!$C$16, $D$11, 100%, $F$11)</f>
        <v>16.997599999999998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1.2927</v>
      </c>
      <c r="Q609" s="9">
        <v>19.688099999999999</v>
      </c>
      <c r="R609" s="9"/>
      <c r="S609" s="11"/>
    </row>
    <row r="610" spans="1:19" ht="15.75">
      <c r="A610" s="13">
        <v>59717</v>
      </c>
      <c r="B610" s="8">
        <f>CHOOSE( CONTROL!$C$33, 17.2439, 17.2422) * CHOOSE(CONTROL!$C$16, $D$11, 100%, $F$11)</f>
        <v>17.2439</v>
      </c>
      <c r="C610" s="8">
        <f>CHOOSE( CONTROL!$C$33, 17.2518, 17.2502) * CHOOSE(CONTROL!$C$16, $D$11, 100%, $F$11)</f>
        <v>17.251799999999999</v>
      </c>
      <c r="D610" s="8">
        <f>CHOOSE( CONTROL!$C$33, 17.2704, 17.2687) * CHOOSE( CONTROL!$C$16, $D$11, 100%, $F$11)</f>
        <v>17.270399999999999</v>
      </c>
      <c r="E610" s="12">
        <f>CHOOSE( CONTROL!$C$33, 17.2625, 17.2608) * CHOOSE( CONTROL!$C$16, $D$11, 100%, $F$11)</f>
        <v>17.262499999999999</v>
      </c>
      <c r="F610" s="4">
        <f>CHOOSE( CONTROL!$C$33, 17.9714, 17.9698) * CHOOSE(CONTROL!$C$16, $D$11, 100%, $F$11)</f>
        <v>17.971399999999999</v>
      </c>
      <c r="G610" s="8">
        <f>CHOOSE( CONTROL!$C$33, 17.0708, 17.0692) * CHOOSE( CONTROL!$C$16, $D$11, 100%, $F$11)</f>
        <v>17.070799999999998</v>
      </c>
      <c r="H610" s="4">
        <f>CHOOSE( CONTROL!$C$33, 18.0076, 18.006) * CHOOSE(CONTROL!$C$16, $D$11, 100%, $F$11)</f>
        <v>18.0076</v>
      </c>
      <c r="I610" s="8">
        <f>CHOOSE( CONTROL!$C$33, 16.8574, 16.8558) * CHOOSE(CONTROL!$C$16, $D$11, 100%, $F$11)</f>
        <v>16.857399999999998</v>
      </c>
      <c r="J610" s="4">
        <f>CHOOSE( CONTROL!$C$33, 16.7244, 16.7227) * CHOOSE(CONTROL!$C$16, $D$11, 100%, $F$11)</f>
        <v>16.724399999999999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1.2509999999999999</v>
      </c>
      <c r="Q610" s="9">
        <v>19.053000000000001</v>
      </c>
      <c r="R610" s="9"/>
      <c r="S610" s="11"/>
    </row>
    <row r="611" spans="1:19" ht="15.75">
      <c r="A611" s="13">
        <v>59748</v>
      </c>
      <c r="B611" s="8">
        <f>CHOOSE( CONTROL!$C$33, 17.9853, 17.9837) * CHOOSE(CONTROL!$C$16, $D$11, 100%, $F$11)</f>
        <v>17.985299999999999</v>
      </c>
      <c r="C611" s="8">
        <f>CHOOSE( CONTROL!$C$33, 17.9933, 17.9916) * CHOOSE(CONTROL!$C$16, $D$11, 100%, $F$11)</f>
        <v>17.993300000000001</v>
      </c>
      <c r="D611" s="8">
        <f>CHOOSE( CONTROL!$C$33, 18.0121, 18.0104) * CHOOSE( CONTROL!$C$16, $D$11, 100%, $F$11)</f>
        <v>18.0121</v>
      </c>
      <c r="E611" s="12">
        <f>CHOOSE( CONTROL!$C$33, 18.0041, 18.0024) * CHOOSE( CONTROL!$C$16, $D$11, 100%, $F$11)</f>
        <v>18.004100000000001</v>
      </c>
      <c r="F611" s="4">
        <f>CHOOSE( CONTROL!$C$33, 18.7129, 18.7112) * CHOOSE(CONTROL!$C$16, $D$11, 100%, $F$11)</f>
        <v>18.712900000000001</v>
      </c>
      <c r="G611" s="8">
        <f>CHOOSE( CONTROL!$C$33, 17.8038, 17.8022) * CHOOSE( CONTROL!$C$16, $D$11, 100%, $F$11)</f>
        <v>17.803799999999999</v>
      </c>
      <c r="H611" s="4">
        <f>CHOOSE( CONTROL!$C$33, 18.7404, 18.7387) * CHOOSE(CONTROL!$C$16, $D$11, 100%, $F$11)</f>
        <v>18.740400000000001</v>
      </c>
      <c r="I611" s="8">
        <f>CHOOSE( CONTROL!$C$33, 17.5782, 17.5766) * CHOOSE(CONTROL!$C$16, $D$11, 100%, $F$11)</f>
        <v>17.578199999999999</v>
      </c>
      <c r="J611" s="4">
        <f>CHOOSE( CONTROL!$C$33, 17.4439, 17.4423) * CHOOSE(CONTROL!$C$16, $D$11, 100%, $F$11)</f>
        <v>17.443899999999999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1.2927</v>
      </c>
      <c r="Q611" s="9">
        <v>19.688099999999999</v>
      </c>
      <c r="R611" s="9"/>
      <c r="S611" s="11"/>
    </row>
    <row r="612" spans="1:19" ht="15.75">
      <c r="A612" s="13">
        <v>59779</v>
      </c>
      <c r="B612" s="8">
        <f>CHOOSE( CONTROL!$C$33, 16.598, 16.5963) * CHOOSE(CONTROL!$C$16, $D$11, 100%, $F$11)</f>
        <v>16.597999999999999</v>
      </c>
      <c r="C612" s="8">
        <f>CHOOSE( CONTROL!$C$33, 16.606, 16.6043) * CHOOSE(CONTROL!$C$16, $D$11, 100%, $F$11)</f>
        <v>16.606000000000002</v>
      </c>
      <c r="D612" s="8">
        <f>CHOOSE( CONTROL!$C$33, 16.6248, 16.6232) * CHOOSE( CONTROL!$C$16, $D$11, 100%, $F$11)</f>
        <v>16.6248</v>
      </c>
      <c r="E612" s="12">
        <f>CHOOSE( CONTROL!$C$33, 16.6168, 16.6151) * CHOOSE( CONTROL!$C$16, $D$11, 100%, $F$11)</f>
        <v>16.616800000000001</v>
      </c>
      <c r="F612" s="4">
        <f>CHOOSE( CONTROL!$C$33, 17.3255, 17.3239) * CHOOSE(CONTROL!$C$16, $D$11, 100%, $F$11)</f>
        <v>17.325500000000002</v>
      </c>
      <c r="G612" s="8">
        <f>CHOOSE( CONTROL!$C$33, 16.4328, 16.4311) * CHOOSE( CONTROL!$C$16, $D$11, 100%, $F$11)</f>
        <v>16.4328</v>
      </c>
      <c r="H612" s="4">
        <f>CHOOSE( CONTROL!$C$33, 17.3693, 17.3676) * CHOOSE(CONTROL!$C$16, $D$11, 100%, $F$11)</f>
        <v>17.369299999999999</v>
      </c>
      <c r="I612" s="8">
        <f>CHOOSE( CONTROL!$C$33, 16.2314, 16.2298) * CHOOSE(CONTROL!$C$16, $D$11, 100%, $F$11)</f>
        <v>16.231400000000001</v>
      </c>
      <c r="J612" s="4">
        <f>CHOOSE( CONTROL!$C$33, 16.0975, 16.0959) * CHOOSE(CONTROL!$C$16, $D$11, 100%, $F$11)</f>
        <v>16.0975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1.2927</v>
      </c>
      <c r="Q612" s="9">
        <v>19.688099999999999</v>
      </c>
      <c r="R612" s="9"/>
      <c r="S612" s="11"/>
    </row>
    <row r="613" spans="1:19" ht="15.75">
      <c r="A613" s="13">
        <v>59809</v>
      </c>
      <c r="B613" s="8">
        <f>CHOOSE( CONTROL!$C$33, 16.2506, 16.2489) * CHOOSE(CONTROL!$C$16, $D$11, 100%, $F$11)</f>
        <v>16.250599999999999</v>
      </c>
      <c r="C613" s="8">
        <f>CHOOSE( CONTROL!$C$33, 16.2585, 16.2569) * CHOOSE(CONTROL!$C$16, $D$11, 100%, $F$11)</f>
        <v>16.258500000000002</v>
      </c>
      <c r="D613" s="8">
        <f>CHOOSE( CONTROL!$C$33, 16.2773, 16.2756) * CHOOSE( CONTROL!$C$16, $D$11, 100%, $F$11)</f>
        <v>16.2773</v>
      </c>
      <c r="E613" s="12">
        <f>CHOOSE( CONTROL!$C$33, 16.2693, 16.2676) * CHOOSE( CONTROL!$C$16, $D$11, 100%, $F$11)</f>
        <v>16.269300000000001</v>
      </c>
      <c r="F613" s="4">
        <f>CHOOSE( CONTROL!$C$33, 16.9781, 16.9765) * CHOOSE(CONTROL!$C$16, $D$11, 100%, $F$11)</f>
        <v>16.978100000000001</v>
      </c>
      <c r="G613" s="8">
        <f>CHOOSE( CONTROL!$C$33, 16.0893, 16.0877) * CHOOSE( CONTROL!$C$16, $D$11, 100%, $F$11)</f>
        <v>16.089300000000001</v>
      </c>
      <c r="H613" s="4">
        <f>CHOOSE( CONTROL!$C$33, 17.0259, 17.0243) * CHOOSE(CONTROL!$C$16, $D$11, 100%, $F$11)</f>
        <v>17.0259</v>
      </c>
      <c r="I613" s="8">
        <f>CHOOSE( CONTROL!$C$33, 15.8937, 15.8921) * CHOOSE(CONTROL!$C$16, $D$11, 100%, $F$11)</f>
        <v>15.893700000000001</v>
      </c>
      <c r="J613" s="4">
        <f>CHOOSE( CONTROL!$C$33, 15.7604, 15.7588) * CHOOSE(CONTROL!$C$16, $D$11, 100%, $F$11)</f>
        <v>15.760400000000001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1.2509999999999999</v>
      </c>
      <c r="Q613" s="9">
        <v>19.053000000000001</v>
      </c>
      <c r="R613" s="9"/>
      <c r="S613" s="11"/>
    </row>
    <row r="614" spans="1:19" ht="15.75">
      <c r="A614" s="13">
        <v>59840</v>
      </c>
      <c r="B614" s="8">
        <f>CHOOSE( CONTROL!$C$33, 16.9696, 16.9685) * CHOOSE(CONTROL!$C$16, $D$11, 100%, $F$11)</f>
        <v>16.9696</v>
      </c>
      <c r="C614" s="8">
        <f>CHOOSE( CONTROL!$C$33, 16.9749, 16.9739) * CHOOSE(CONTROL!$C$16, $D$11, 100%, $F$11)</f>
        <v>16.974900000000002</v>
      </c>
      <c r="D614" s="8">
        <f>CHOOSE( CONTROL!$C$33, 16.9994, 16.9983) * CHOOSE( CONTROL!$C$16, $D$11, 100%, $F$11)</f>
        <v>16.999400000000001</v>
      </c>
      <c r="E614" s="12">
        <f>CHOOSE( CONTROL!$C$33, 16.9907, 16.9897) * CHOOSE( CONTROL!$C$16, $D$11, 100%, $F$11)</f>
        <v>16.9907</v>
      </c>
      <c r="F614" s="4">
        <f>CHOOSE( CONTROL!$C$33, 17.6989, 17.6978) * CHOOSE(CONTROL!$C$16, $D$11, 100%, $F$11)</f>
        <v>17.698899999999998</v>
      </c>
      <c r="G614" s="8">
        <f>CHOOSE( CONTROL!$C$33, 16.8018, 16.8008) * CHOOSE( CONTROL!$C$16, $D$11, 100%, $F$11)</f>
        <v>16.8018</v>
      </c>
      <c r="H614" s="4">
        <f>CHOOSE( CONTROL!$C$33, 17.7383, 17.7372) * CHOOSE(CONTROL!$C$16, $D$11, 100%, $F$11)</f>
        <v>17.738299999999999</v>
      </c>
      <c r="I614" s="8">
        <f>CHOOSE( CONTROL!$C$33, 16.5944, 16.5934) * CHOOSE(CONTROL!$C$16, $D$11, 100%, $F$11)</f>
        <v>16.5944</v>
      </c>
      <c r="J614" s="4">
        <f>CHOOSE( CONTROL!$C$33, 16.4599, 16.4588) * CHOOSE(CONTROL!$C$16, $D$11, 100%, $F$11)</f>
        <v>16.459900000000001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1.2927</v>
      </c>
      <c r="Q614" s="9">
        <v>19.688099999999999</v>
      </c>
      <c r="R614" s="9"/>
      <c r="S614" s="11"/>
    </row>
    <row r="615" spans="1:19" ht="15.75">
      <c r="A615" s="13">
        <v>59870</v>
      </c>
      <c r="B615" s="8">
        <f>CHOOSE( CONTROL!$C$33, 18.3007, 18.2996) * CHOOSE(CONTROL!$C$16, $D$11, 100%, $F$11)</f>
        <v>18.300699999999999</v>
      </c>
      <c r="C615" s="8">
        <f>CHOOSE( CONTROL!$C$33, 18.3057, 18.3046) * CHOOSE(CONTROL!$C$16, $D$11, 100%, $F$11)</f>
        <v>18.305700000000002</v>
      </c>
      <c r="D615" s="8">
        <f>CHOOSE( CONTROL!$C$33, 18.2961, 18.295) * CHOOSE( CONTROL!$C$16, $D$11, 100%, $F$11)</f>
        <v>18.296099999999999</v>
      </c>
      <c r="E615" s="12">
        <f>CHOOSE( CONTROL!$C$33, 18.2991, 18.298) * CHOOSE( CONTROL!$C$16, $D$11, 100%, $F$11)</f>
        <v>18.299099999999999</v>
      </c>
      <c r="F615" s="4">
        <f>CHOOSE( CONTROL!$C$33, 18.9608, 18.9597) * CHOOSE(CONTROL!$C$16, $D$11, 100%, $F$11)</f>
        <v>18.960799999999999</v>
      </c>
      <c r="G615" s="8">
        <f>CHOOSE( CONTROL!$C$33, 18.1042, 18.1032) * CHOOSE( CONTROL!$C$16, $D$11, 100%, $F$11)</f>
        <v>18.104199999999999</v>
      </c>
      <c r="H615" s="4">
        <f>CHOOSE( CONTROL!$C$33, 18.9854, 18.9843) * CHOOSE(CONTROL!$C$16, $D$11, 100%, $F$11)</f>
        <v>18.985399999999998</v>
      </c>
      <c r="I615" s="8">
        <f>CHOOSE( CONTROL!$C$33, 17.9466, 17.9455) * CHOOSE(CONTROL!$C$16, $D$11, 100%, $F$11)</f>
        <v>17.9466</v>
      </c>
      <c r="J615" s="4">
        <f>CHOOSE( CONTROL!$C$33, 17.752, 17.751) * CHOOSE(CONTROL!$C$16, $D$11, 100%, $F$11)</f>
        <v>17.751999999999999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59901</v>
      </c>
      <c r="B616" s="8">
        <f>CHOOSE( CONTROL!$C$33, 18.2674, 18.2663) * CHOOSE(CONTROL!$C$16, $D$11, 100%, $F$11)</f>
        <v>18.267399999999999</v>
      </c>
      <c r="C616" s="8">
        <f>CHOOSE( CONTROL!$C$33, 18.2725, 18.2714) * CHOOSE(CONTROL!$C$16, $D$11, 100%, $F$11)</f>
        <v>18.272500000000001</v>
      </c>
      <c r="D616" s="8">
        <f>CHOOSE( CONTROL!$C$33, 18.2643, 18.2632) * CHOOSE( CONTROL!$C$16, $D$11, 100%, $F$11)</f>
        <v>18.264299999999999</v>
      </c>
      <c r="E616" s="12">
        <f>CHOOSE( CONTROL!$C$33, 18.2668, 18.2657) * CHOOSE( CONTROL!$C$16, $D$11, 100%, $F$11)</f>
        <v>18.2668</v>
      </c>
      <c r="F616" s="4">
        <f>CHOOSE( CONTROL!$C$33, 18.9275, 18.9264) * CHOOSE(CONTROL!$C$16, $D$11, 100%, $F$11)</f>
        <v>18.927499999999998</v>
      </c>
      <c r="G616" s="8">
        <f>CHOOSE( CONTROL!$C$33, 18.0724, 18.0713) * CHOOSE( CONTROL!$C$16, $D$11, 100%, $F$11)</f>
        <v>18.072399999999998</v>
      </c>
      <c r="H616" s="4">
        <f>CHOOSE( CONTROL!$C$33, 18.9525, 18.9514) * CHOOSE(CONTROL!$C$16, $D$11, 100%, $F$11)</f>
        <v>18.952500000000001</v>
      </c>
      <c r="I616" s="8">
        <f>CHOOSE( CONTROL!$C$33, 17.9187, 17.9177) * CHOOSE(CONTROL!$C$16, $D$11, 100%, $F$11)</f>
        <v>17.918700000000001</v>
      </c>
      <c r="J616" s="4">
        <f>CHOOSE( CONTROL!$C$33, 17.7197, 17.7187) * CHOOSE(CONTROL!$C$16, $D$11, 100%, $F$11)</f>
        <v>17.7197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59932</v>
      </c>
      <c r="B617" s="8">
        <f>CHOOSE( CONTROL!$C$33, 18.8059, 18.8048) * CHOOSE(CONTROL!$C$16, $D$11, 100%, $F$11)</f>
        <v>18.805900000000001</v>
      </c>
      <c r="C617" s="8">
        <f>CHOOSE( CONTROL!$C$33, 18.811, 18.8099) * CHOOSE(CONTROL!$C$16, $D$11, 100%, $F$11)</f>
        <v>18.811</v>
      </c>
      <c r="D617" s="8">
        <f>CHOOSE( CONTROL!$C$33, 18.8136, 18.8125) * CHOOSE( CONTROL!$C$16, $D$11, 100%, $F$11)</f>
        <v>18.813600000000001</v>
      </c>
      <c r="E617" s="12">
        <f>CHOOSE( CONTROL!$C$33, 18.8121, 18.811) * CHOOSE( CONTROL!$C$16, $D$11, 100%, $F$11)</f>
        <v>18.812100000000001</v>
      </c>
      <c r="F617" s="4">
        <f>CHOOSE( CONTROL!$C$33, 19.466, 19.465) * CHOOSE(CONTROL!$C$16, $D$11, 100%, $F$11)</f>
        <v>19.466000000000001</v>
      </c>
      <c r="G617" s="8">
        <f>CHOOSE( CONTROL!$C$33, 18.6075, 18.6064) * CHOOSE( CONTROL!$C$16, $D$11, 100%, $F$11)</f>
        <v>18.607500000000002</v>
      </c>
      <c r="H617" s="4">
        <f>CHOOSE( CONTROL!$C$33, 19.4847, 19.4837) * CHOOSE(CONTROL!$C$16, $D$11, 100%, $F$11)</f>
        <v>19.4847</v>
      </c>
      <c r="I617" s="8">
        <f>CHOOSE( CONTROL!$C$33, 18.4131, 18.4121) * CHOOSE(CONTROL!$C$16, $D$11, 100%, $F$11)</f>
        <v>18.4131</v>
      </c>
      <c r="J617" s="4">
        <f>CHOOSE( CONTROL!$C$33, 18.2424, 18.2413) * CHOOSE(CONTROL!$C$16, $D$11, 100%, $F$11)</f>
        <v>18.2424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59961</v>
      </c>
      <c r="B618" s="8">
        <f>CHOOSE( CONTROL!$C$33, 17.5908, 17.5897) * CHOOSE(CONTROL!$C$16, $D$11, 100%, $F$11)</f>
        <v>17.590800000000002</v>
      </c>
      <c r="C618" s="8">
        <f>CHOOSE( CONTROL!$C$33, 17.5959, 17.5948) * CHOOSE(CONTROL!$C$16, $D$11, 100%, $F$11)</f>
        <v>17.5959</v>
      </c>
      <c r="D618" s="8">
        <f>CHOOSE( CONTROL!$C$33, 17.5984, 17.5973) * CHOOSE( CONTROL!$C$16, $D$11, 100%, $F$11)</f>
        <v>17.598400000000002</v>
      </c>
      <c r="E618" s="12">
        <f>CHOOSE( CONTROL!$C$33, 17.5969, 17.5958) * CHOOSE( CONTROL!$C$16, $D$11, 100%, $F$11)</f>
        <v>17.596900000000002</v>
      </c>
      <c r="F618" s="4">
        <f>CHOOSE( CONTROL!$C$33, 18.2509, 18.2498) * CHOOSE(CONTROL!$C$16, $D$11, 100%, $F$11)</f>
        <v>18.250900000000001</v>
      </c>
      <c r="G618" s="8">
        <f>CHOOSE( CONTROL!$C$33, 17.4065, 17.4054) * CHOOSE( CONTROL!$C$16, $D$11, 100%, $F$11)</f>
        <v>17.406500000000001</v>
      </c>
      <c r="H618" s="4">
        <f>CHOOSE( CONTROL!$C$33, 18.2838, 18.2828) * CHOOSE(CONTROL!$C$16, $D$11, 100%, $F$11)</f>
        <v>18.283799999999999</v>
      </c>
      <c r="I618" s="8">
        <f>CHOOSE( CONTROL!$C$33, 17.233, 17.2319) * CHOOSE(CONTROL!$C$16, $D$11, 100%, $F$11)</f>
        <v>17.233000000000001</v>
      </c>
      <c r="J618" s="4">
        <f>CHOOSE( CONTROL!$C$33, 17.0631, 17.0621) * CHOOSE(CONTROL!$C$16, $D$11, 100%, $F$11)</f>
        <v>17.063099999999999</v>
      </c>
      <c r="K618" s="4"/>
      <c r="L618" s="9">
        <v>27.415299999999998</v>
      </c>
      <c r="M618" s="9">
        <v>11.285299999999999</v>
      </c>
      <c r="N618" s="9">
        <v>4.6254999999999997</v>
      </c>
      <c r="O618" s="9">
        <v>0.34989999999999999</v>
      </c>
      <c r="P618" s="9">
        <v>1.2093</v>
      </c>
      <c r="Q618" s="9">
        <v>18.417899999999999</v>
      </c>
      <c r="R618" s="9"/>
      <c r="S618" s="11"/>
    </row>
    <row r="619" spans="1:19" ht="15.75">
      <c r="A619" s="13">
        <v>59992</v>
      </c>
      <c r="B619" s="8">
        <f>CHOOSE( CONTROL!$C$33, 17.2165, 17.2155) * CHOOSE(CONTROL!$C$16, $D$11, 100%, $F$11)</f>
        <v>17.2165</v>
      </c>
      <c r="C619" s="8">
        <f>CHOOSE( CONTROL!$C$33, 17.2216, 17.2205) * CHOOSE(CONTROL!$C$16, $D$11, 100%, $F$11)</f>
        <v>17.221599999999999</v>
      </c>
      <c r="D619" s="8">
        <f>CHOOSE( CONTROL!$C$33, 17.2235, 17.2224) * CHOOSE( CONTROL!$C$16, $D$11, 100%, $F$11)</f>
        <v>17.223500000000001</v>
      </c>
      <c r="E619" s="12">
        <f>CHOOSE( CONTROL!$C$33, 17.2223, 17.2212) * CHOOSE( CONTROL!$C$16, $D$11, 100%, $F$11)</f>
        <v>17.222300000000001</v>
      </c>
      <c r="F619" s="4">
        <f>CHOOSE( CONTROL!$C$33, 17.8767, 17.8756) * CHOOSE(CONTROL!$C$16, $D$11, 100%, $F$11)</f>
        <v>17.8767</v>
      </c>
      <c r="G619" s="8">
        <f>CHOOSE( CONTROL!$C$33, 17.0361, 17.0351) * CHOOSE( CONTROL!$C$16, $D$11, 100%, $F$11)</f>
        <v>17.036100000000001</v>
      </c>
      <c r="H619" s="4">
        <f>CHOOSE( CONTROL!$C$33, 17.914, 17.9129) * CHOOSE(CONTROL!$C$16, $D$11, 100%, $F$11)</f>
        <v>17.914000000000001</v>
      </c>
      <c r="I619" s="8">
        <f>CHOOSE( CONTROL!$C$33, 16.8675, 16.8664) * CHOOSE(CONTROL!$C$16, $D$11, 100%, $F$11)</f>
        <v>16.8675</v>
      </c>
      <c r="J619" s="4">
        <f>CHOOSE( CONTROL!$C$33, 16.6999, 16.6989) * CHOOSE(CONTROL!$C$16, $D$11, 100%, $F$11)</f>
        <v>16.6999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60022</v>
      </c>
      <c r="B620" s="8">
        <f>CHOOSE( CONTROL!$C$33, 17.4788, 17.4777) * CHOOSE(CONTROL!$C$16, $D$11, 100%, $F$11)</f>
        <v>17.4788</v>
      </c>
      <c r="C620" s="8">
        <f>CHOOSE( CONTROL!$C$33, 17.4833, 17.4823) * CHOOSE(CONTROL!$C$16, $D$11, 100%, $F$11)</f>
        <v>17.4833</v>
      </c>
      <c r="D620" s="8">
        <f>CHOOSE( CONTROL!$C$33, 17.5077, 17.5066) * CHOOSE( CONTROL!$C$16, $D$11, 100%, $F$11)</f>
        <v>17.5077</v>
      </c>
      <c r="E620" s="12">
        <f>CHOOSE( CONTROL!$C$33, 17.4991, 17.498) * CHOOSE( CONTROL!$C$16, $D$11, 100%, $F$11)</f>
        <v>17.499099999999999</v>
      </c>
      <c r="F620" s="4">
        <f>CHOOSE( CONTROL!$C$33, 18.2077, 18.2067) * CHOOSE(CONTROL!$C$16, $D$11, 100%, $F$11)</f>
        <v>18.207699999999999</v>
      </c>
      <c r="G620" s="8">
        <f>CHOOSE( CONTROL!$C$33, 17.3043, 17.3032) * CHOOSE( CONTROL!$C$16, $D$11, 100%, $F$11)</f>
        <v>17.304300000000001</v>
      </c>
      <c r="H620" s="4">
        <f>CHOOSE( CONTROL!$C$33, 18.2412, 18.2401) * CHOOSE(CONTROL!$C$16, $D$11, 100%, $F$11)</f>
        <v>18.241199999999999</v>
      </c>
      <c r="I620" s="8">
        <f>CHOOSE( CONTROL!$C$33, 17.0866, 17.0856) * CHOOSE(CONTROL!$C$16, $D$11, 100%, $F$11)</f>
        <v>17.086600000000001</v>
      </c>
      <c r="J620" s="4">
        <f>CHOOSE( CONTROL!$C$33, 16.9537, 16.9527) * CHOOSE(CONTROL!$C$16, $D$11, 100%, $F$11)</f>
        <v>16.953700000000001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1.2509999999999999</v>
      </c>
      <c r="Q620" s="9">
        <v>19.053000000000001</v>
      </c>
      <c r="R620" s="9"/>
      <c r="S620" s="11"/>
    </row>
    <row r="621" spans="1:19" ht="15.75">
      <c r="A621" s="13">
        <v>60053</v>
      </c>
      <c r="B621" s="8">
        <f>CHOOSE( CONTROL!$C$33, 17.9462, 17.9446) * CHOOSE(CONTROL!$C$16, $D$11, 100%, $F$11)</f>
        <v>17.946200000000001</v>
      </c>
      <c r="C621" s="8">
        <f>CHOOSE( CONTROL!$C$33, 17.9542, 17.9525) * CHOOSE(CONTROL!$C$16, $D$11, 100%, $F$11)</f>
        <v>17.9542</v>
      </c>
      <c r="D621" s="8">
        <f>CHOOSE( CONTROL!$C$33, 17.9725, 17.9708) * CHOOSE( CONTROL!$C$16, $D$11, 100%, $F$11)</f>
        <v>17.9725</v>
      </c>
      <c r="E621" s="12">
        <f>CHOOSE( CONTROL!$C$33, 17.9646, 17.963) * CHOOSE( CONTROL!$C$16, $D$11, 100%, $F$11)</f>
        <v>17.964600000000001</v>
      </c>
      <c r="F621" s="4">
        <f>CHOOSE( CONTROL!$C$33, 18.6738, 18.6721) * CHOOSE(CONTROL!$C$16, $D$11, 100%, $F$11)</f>
        <v>18.6738</v>
      </c>
      <c r="G621" s="8">
        <f>CHOOSE( CONTROL!$C$33, 17.7648, 17.7631) * CHOOSE( CONTROL!$C$16, $D$11, 100%, $F$11)</f>
        <v>17.764800000000001</v>
      </c>
      <c r="H621" s="4">
        <f>CHOOSE( CONTROL!$C$33, 18.7017, 18.7001) * CHOOSE(CONTROL!$C$16, $D$11, 100%, $F$11)</f>
        <v>18.701699999999999</v>
      </c>
      <c r="I621" s="8">
        <f>CHOOSE( CONTROL!$C$33, 17.5385, 17.5369) * CHOOSE(CONTROL!$C$16, $D$11, 100%, $F$11)</f>
        <v>17.538499999999999</v>
      </c>
      <c r="J621" s="4">
        <f>CHOOSE( CONTROL!$C$33, 17.406, 17.4044) * CHOOSE(CONTROL!$C$16, $D$11, 100%, $F$11)</f>
        <v>17.405999999999999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1.2927</v>
      </c>
      <c r="Q621" s="9">
        <v>19.688099999999999</v>
      </c>
      <c r="R621" s="9"/>
      <c r="S621" s="11"/>
    </row>
    <row r="622" spans="1:19" ht="15.75">
      <c r="A622" s="13">
        <v>60083</v>
      </c>
      <c r="B622" s="8">
        <f>CHOOSE( CONTROL!$C$33, 17.6579, 17.6562) * CHOOSE(CONTROL!$C$16, $D$11, 100%, $F$11)</f>
        <v>17.657900000000001</v>
      </c>
      <c r="C622" s="8">
        <f>CHOOSE( CONTROL!$C$33, 17.6659, 17.6642) * CHOOSE(CONTROL!$C$16, $D$11, 100%, $F$11)</f>
        <v>17.665900000000001</v>
      </c>
      <c r="D622" s="8">
        <f>CHOOSE( CONTROL!$C$33, 17.6844, 17.6827) * CHOOSE( CONTROL!$C$16, $D$11, 100%, $F$11)</f>
        <v>17.6844</v>
      </c>
      <c r="E622" s="12">
        <f>CHOOSE( CONTROL!$C$33, 17.6765, 17.6748) * CHOOSE( CONTROL!$C$16, $D$11, 100%, $F$11)</f>
        <v>17.676500000000001</v>
      </c>
      <c r="F622" s="4">
        <f>CHOOSE( CONTROL!$C$33, 18.3854, 18.3838) * CHOOSE(CONTROL!$C$16, $D$11, 100%, $F$11)</f>
        <v>18.385400000000001</v>
      </c>
      <c r="G622" s="8">
        <f>CHOOSE( CONTROL!$C$33, 17.48, 17.4784) * CHOOSE( CONTROL!$C$16, $D$11, 100%, $F$11)</f>
        <v>17.48</v>
      </c>
      <c r="H622" s="4">
        <f>CHOOSE( CONTROL!$C$33, 18.4168, 18.4151) * CHOOSE(CONTROL!$C$16, $D$11, 100%, $F$11)</f>
        <v>18.416799999999999</v>
      </c>
      <c r="I622" s="8">
        <f>CHOOSE( CONTROL!$C$33, 17.2594, 17.2578) * CHOOSE(CONTROL!$C$16, $D$11, 100%, $F$11)</f>
        <v>17.259399999999999</v>
      </c>
      <c r="J622" s="4">
        <f>CHOOSE( CONTROL!$C$33, 17.1262, 17.1246) * CHOOSE(CONTROL!$C$16, $D$11, 100%, $F$11)</f>
        <v>17.126200000000001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1.2509999999999999</v>
      </c>
      <c r="Q622" s="9">
        <v>19.053000000000001</v>
      </c>
      <c r="R622" s="9"/>
      <c r="S622" s="11"/>
    </row>
    <row r="623" spans="1:19" ht="15.75">
      <c r="A623" s="13">
        <v>60114</v>
      </c>
      <c r="B623" s="8">
        <f>CHOOSE( CONTROL!$C$33, 18.4172, 18.4155) * CHOOSE(CONTROL!$C$16, $D$11, 100%, $F$11)</f>
        <v>18.417200000000001</v>
      </c>
      <c r="C623" s="8">
        <f>CHOOSE( CONTROL!$C$33, 18.4251, 18.4235) * CHOOSE(CONTROL!$C$16, $D$11, 100%, $F$11)</f>
        <v>18.4251</v>
      </c>
      <c r="D623" s="8">
        <f>CHOOSE( CONTROL!$C$33, 18.4439, 18.4423) * CHOOSE( CONTROL!$C$16, $D$11, 100%, $F$11)</f>
        <v>18.443899999999999</v>
      </c>
      <c r="E623" s="12">
        <f>CHOOSE( CONTROL!$C$33, 18.4359, 18.4343) * CHOOSE( CONTROL!$C$16, $D$11, 100%, $F$11)</f>
        <v>18.4359</v>
      </c>
      <c r="F623" s="4">
        <f>CHOOSE( CONTROL!$C$33, 19.1447, 19.1431) * CHOOSE(CONTROL!$C$16, $D$11, 100%, $F$11)</f>
        <v>19.1447</v>
      </c>
      <c r="G623" s="8">
        <f>CHOOSE( CONTROL!$C$33, 18.2306, 18.2289) * CHOOSE( CONTROL!$C$16, $D$11, 100%, $F$11)</f>
        <v>18.230599999999999</v>
      </c>
      <c r="H623" s="4">
        <f>CHOOSE( CONTROL!$C$33, 19.1672, 19.1655) * CHOOSE(CONTROL!$C$16, $D$11, 100%, $F$11)</f>
        <v>19.167200000000001</v>
      </c>
      <c r="I623" s="8">
        <f>CHOOSE( CONTROL!$C$33, 17.9975, 17.9959) * CHOOSE(CONTROL!$C$16, $D$11, 100%, $F$11)</f>
        <v>17.997499999999999</v>
      </c>
      <c r="J623" s="4">
        <f>CHOOSE( CONTROL!$C$33, 17.863, 17.8614) * CHOOSE(CONTROL!$C$16, $D$11, 100%, $F$11)</f>
        <v>17.863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1.2927</v>
      </c>
      <c r="Q623" s="9">
        <v>19.688099999999999</v>
      </c>
      <c r="R623" s="9"/>
      <c r="S623" s="11"/>
    </row>
    <row r="624" spans="1:19" ht="15.75">
      <c r="A624" s="13">
        <v>60145</v>
      </c>
      <c r="B624" s="8">
        <f>CHOOSE( CONTROL!$C$33, 16.9965, 16.9948) * CHOOSE(CONTROL!$C$16, $D$11, 100%, $F$11)</f>
        <v>16.996500000000001</v>
      </c>
      <c r="C624" s="8">
        <f>CHOOSE( CONTROL!$C$33, 17.0045, 17.0028) * CHOOSE(CONTROL!$C$16, $D$11, 100%, $F$11)</f>
        <v>17.0045</v>
      </c>
      <c r="D624" s="8">
        <f>CHOOSE( CONTROL!$C$33, 17.0233, 17.0217) * CHOOSE( CONTROL!$C$16, $D$11, 100%, $F$11)</f>
        <v>17.023299999999999</v>
      </c>
      <c r="E624" s="12">
        <f>CHOOSE( CONTROL!$C$33, 17.0153, 17.0136) * CHOOSE( CONTROL!$C$16, $D$11, 100%, $F$11)</f>
        <v>17.0153</v>
      </c>
      <c r="F624" s="4">
        <f>CHOOSE( CONTROL!$C$33, 17.724, 17.7224) * CHOOSE(CONTROL!$C$16, $D$11, 100%, $F$11)</f>
        <v>17.724</v>
      </c>
      <c r="G624" s="8">
        <f>CHOOSE( CONTROL!$C$33, 16.8266, 16.825) * CHOOSE( CONTROL!$C$16, $D$11, 100%, $F$11)</f>
        <v>16.826599999999999</v>
      </c>
      <c r="H624" s="4">
        <f>CHOOSE( CONTROL!$C$33, 17.7631, 17.7615) * CHOOSE(CONTROL!$C$16, $D$11, 100%, $F$11)</f>
        <v>17.763100000000001</v>
      </c>
      <c r="I624" s="8">
        <f>CHOOSE( CONTROL!$C$33, 16.6183, 16.6167) * CHOOSE(CONTROL!$C$16, $D$11, 100%, $F$11)</f>
        <v>16.618300000000001</v>
      </c>
      <c r="J624" s="4">
        <f>CHOOSE( CONTROL!$C$33, 16.4843, 16.4827) * CHOOSE(CONTROL!$C$16, $D$11, 100%, $F$11)</f>
        <v>16.484300000000001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1.2927</v>
      </c>
      <c r="Q624" s="9">
        <v>19.688099999999999</v>
      </c>
      <c r="R624" s="9"/>
      <c r="S624" s="11"/>
    </row>
    <row r="625" spans="1:19" ht="15.75">
      <c r="A625" s="13">
        <v>60175</v>
      </c>
      <c r="B625" s="8">
        <f>CHOOSE( CONTROL!$C$33, 16.6407, 16.6391) * CHOOSE(CONTROL!$C$16, $D$11, 100%, $F$11)</f>
        <v>16.640699999999999</v>
      </c>
      <c r="C625" s="8">
        <f>CHOOSE( CONTROL!$C$33, 16.6487, 16.647) * CHOOSE(CONTROL!$C$16, $D$11, 100%, $F$11)</f>
        <v>16.648700000000002</v>
      </c>
      <c r="D625" s="8">
        <f>CHOOSE( CONTROL!$C$33, 16.6675, 16.6658) * CHOOSE( CONTROL!$C$16, $D$11, 100%, $F$11)</f>
        <v>16.6675</v>
      </c>
      <c r="E625" s="12">
        <f>CHOOSE( CONTROL!$C$33, 16.6595, 16.6578) * CHOOSE( CONTROL!$C$16, $D$11, 100%, $F$11)</f>
        <v>16.659500000000001</v>
      </c>
      <c r="F625" s="4">
        <f>CHOOSE( CONTROL!$C$33, 17.3683, 17.3666) * CHOOSE(CONTROL!$C$16, $D$11, 100%, $F$11)</f>
        <v>17.368300000000001</v>
      </c>
      <c r="G625" s="8">
        <f>CHOOSE( CONTROL!$C$33, 16.4749, 16.4733) * CHOOSE( CONTROL!$C$16, $D$11, 100%, $F$11)</f>
        <v>16.474900000000002</v>
      </c>
      <c r="H625" s="4">
        <f>CHOOSE( CONTROL!$C$33, 17.4115, 17.4099) * CHOOSE(CONTROL!$C$16, $D$11, 100%, $F$11)</f>
        <v>17.4115</v>
      </c>
      <c r="I625" s="8">
        <f>CHOOSE( CONTROL!$C$33, 16.2725, 16.2709) * CHOOSE(CONTROL!$C$16, $D$11, 100%, $F$11)</f>
        <v>16.272500000000001</v>
      </c>
      <c r="J625" s="4">
        <f>CHOOSE( CONTROL!$C$33, 16.139, 16.1374) * CHOOSE(CONTROL!$C$16, $D$11, 100%, $F$11)</f>
        <v>16.138999999999999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1.2509999999999999</v>
      </c>
      <c r="Q625" s="9">
        <v>19.053000000000001</v>
      </c>
      <c r="R625" s="9"/>
      <c r="S625" s="11"/>
    </row>
    <row r="626" spans="1:19" ht="15.75">
      <c r="A626" s="13">
        <v>60206</v>
      </c>
      <c r="B626" s="8">
        <f>CHOOSE( CONTROL!$C$33, 17.3771, 17.376) * CHOOSE(CONTROL!$C$16, $D$11, 100%, $F$11)</f>
        <v>17.377099999999999</v>
      </c>
      <c r="C626" s="8">
        <f>CHOOSE( CONTROL!$C$33, 17.3824, 17.3813) * CHOOSE(CONTROL!$C$16, $D$11, 100%, $F$11)</f>
        <v>17.382400000000001</v>
      </c>
      <c r="D626" s="8">
        <f>CHOOSE( CONTROL!$C$33, 17.4068, 17.4058) * CHOOSE( CONTROL!$C$16, $D$11, 100%, $F$11)</f>
        <v>17.4068</v>
      </c>
      <c r="E626" s="12">
        <f>CHOOSE( CONTROL!$C$33, 17.3982, 17.3971) * CHOOSE( CONTROL!$C$16, $D$11, 100%, $F$11)</f>
        <v>17.398199999999999</v>
      </c>
      <c r="F626" s="4">
        <f>CHOOSE( CONTROL!$C$33, 18.1064, 18.1053) * CHOOSE(CONTROL!$C$16, $D$11, 100%, $F$11)</f>
        <v>18.106400000000001</v>
      </c>
      <c r="G626" s="8">
        <f>CHOOSE( CONTROL!$C$33, 17.2045, 17.2035) * CHOOSE( CONTROL!$C$16, $D$11, 100%, $F$11)</f>
        <v>17.204499999999999</v>
      </c>
      <c r="H626" s="4">
        <f>CHOOSE( CONTROL!$C$33, 18.141, 18.1399) * CHOOSE(CONTROL!$C$16, $D$11, 100%, $F$11)</f>
        <v>18.140999999999998</v>
      </c>
      <c r="I626" s="8">
        <f>CHOOSE( CONTROL!$C$33, 16.9901, 16.989) * CHOOSE(CONTROL!$C$16, $D$11, 100%, $F$11)</f>
        <v>16.990100000000002</v>
      </c>
      <c r="J626" s="4">
        <f>CHOOSE( CONTROL!$C$33, 16.8553, 16.8543) * CHOOSE(CONTROL!$C$16, $D$11, 100%, $F$11)</f>
        <v>16.8553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1.2927</v>
      </c>
      <c r="Q626" s="9">
        <v>19.688099999999999</v>
      </c>
      <c r="R626" s="9"/>
      <c r="S626" s="11"/>
    </row>
    <row r="627" spans="1:19" ht="15.75">
      <c r="A627" s="13">
        <v>60236</v>
      </c>
      <c r="B627" s="8">
        <f>CHOOSE( CONTROL!$C$33, 18.7401, 18.739) * CHOOSE(CONTROL!$C$16, $D$11, 100%, $F$11)</f>
        <v>18.740100000000002</v>
      </c>
      <c r="C627" s="8">
        <f>CHOOSE( CONTROL!$C$33, 18.7452, 18.7441) * CHOOSE(CONTROL!$C$16, $D$11, 100%, $F$11)</f>
        <v>18.745200000000001</v>
      </c>
      <c r="D627" s="8">
        <f>CHOOSE( CONTROL!$C$33, 18.7356, 18.7345) * CHOOSE( CONTROL!$C$16, $D$11, 100%, $F$11)</f>
        <v>18.735600000000002</v>
      </c>
      <c r="E627" s="12">
        <f>CHOOSE( CONTROL!$C$33, 18.7386, 18.7375) * CHOOSE( CONTROL!$C$16, $D$11, 100%, $F$11)</f>
        <v>18.738600000000002</v>
      </c>
      <c r="F627" s="4">
        <f>CHOOSE( CONTROL!$C$33, 19.4003, 19.3992) * CHOOSE(CONTROL!$C$16, $D$11, 100%, $F$11)</f>
        <v>19.400300000000001</v>
      </c>
      <c r="G627" s="8">
        <f>CHOOSE( CONTROL!$C$33, 18.5386, 18.5375) * CHOOSE( CONTROL!$C$16, $D$11, 100%, $F$11)</f>
        <v>18.538599999999999</v>
      </c>
      <c r="H627" s="4">
        <f>CHOOSE( CONTROL!$C$33, 19.4197, 19.4186) * CHOOSE(CONTROL!$C$16, $D$11, 100%, $F$11)</f>
        <v>19.419699999999999</v>
      </c>
      <c r="I627" s="8">
        <f>CHOOSE( CONTROL!$C$33, 18.3733, 18.3723) * CHOOSE(CONTROL!$C$16, $D$11, 100%, $F$11)</f>
        <v>18.3733</v>
      </c>
      <c r="J627" s="4">
        <f>CHOOSE( CONTROL!$C$33, 18.1785, 18.1775) * CHOOSE(CONTROL!$C$16, $D$11, 100%, $F$11)</f>
        <v>18.1785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60267</v>
      </c>
      <c r="B628" s="8">
        <f>CHOOSE( CONTROL!$C$33, 18.7061, 18.705) * CHOOSE(CONTROL!$C$16, $D$11, 100%, $F$11)</f>
        <v>18.706099999999999</v>
      </c>
      <c r="C628" s="8">
        <f>CHOOSE( CONTROL!$C$33, 18.7111, 18.7101) * CHOOSE(CONTROL!$C$16, $D$11, 100%, $F$11)</f>
        <v>18.711099999999998</v>
      </c>
      <c r="D628" s="8">
        <f>CHOOSE( CONTROL!$C$33, 18.703, 18.7019) * CHOOSE( CONTROL!$C$16, $D$11, 100%, $F$11)</f>
        <v>18.702999999999999</v>
      </c>
      <c r="E628" s="12">
        <f>CHOOSE( CONTROL!$C$33, 18.7054, 18.7044) * CHOOSE( CONTROL!$C$16, $D$11, 100%, $F$11)</f>
        <v>18.705400000000001</v>
      </c>
      <c r="F628" s="4">
        <f>CHOOSE( CONTROL!$C$33, 19.3662, 19.3651) * CHOOSE(CONTROL!$C$16, $D$11, 100%, $F$11)</f>
        <v>19.366199999999999</v>
      </c>
      <c r="G628" s="8">
        <f>CHOOSE( CONTROL!$C$33, 18.5059, 18.5049) * CHOOSE( CONTROL!$C$16, $D$11, 100%, $F$11)</f>
        <v>18.5059</v>
      </c>
      <c r="H628" s="4">
        <f>CHOOSE( CONTROL!$C$33, 19.386, 19.385) * CHOOSE(CONTROL!$C$16, $D$11, 100%, $F$11)</f>
        <v>19.385999999999999</v>
      </c>
      <c r="I628" s="8">
        <f>CHOOSE( CONTROL!$C$33, 18.3447, 18.3436) * CHOOSE(CONTROL!$C$16, $D$11, 100%, $F$11)</f>
        <v>18.3447</v>
      </c>
      <c r="J628" s="4">
        <f>CHOOSE( CONTROL!$C$33, 18.1455, 18.1444) * CHOOSE(CONTROL!$C$16, $D$11, 100%, $F$11)</f>
        <v>18.145499999999998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60298</v>
      </c>
      <c r="B629" s="8">
        <f>CHOOSE( CONTROL!$C$33, 19.2575, 19.2564) * CHOOSE(CONTROL!$C$16, $D$11, 100%, $F$11)</f>
        <v>19.2575</v>
      </c>
      <c r="C629" s="8">
        <f>CHOOSE( CONTROL!$C$33, 19.2626, 19.2615) * CHOOSE(CONTROL!$C$16, $D$11, 100%, $F$11)</f>
        <v>19.262599999999999</v>
      </c>
      <c r="D629" s="8">
        <f>CHOOSE( CONTROL!$C$33, 19.2652, 19.2642) * CHOOSE( CONTROL!$C$16, $D$11, 100%, $F$11)</f>
        <v>19.2652</v>
      </c>
      <c r="E629" s="12">
        <f>CHOOSE( CONTROL!$C$33, 19.2637, 19.2627) * CHOOSE( CONTROL!$C$16, $D$11, 100%, $F$11)</f>
        <v>19.2637</v>
      </c>
      <c r="F629" s="4">
        <f>CHOOSE( CONTROL!$C$33, 19.9177, 19.9166) * CHOOSE(CONTROL!$C$16, $D$11, 100%, $F$11)</f>
        <v>19.9177</v>
      </c>
      <c r="G629" s="8">
        <f>CHOOSE( CONTROL!$C$33, 19.0538, 19.0527) * CHOOSE( CONTROL!$C$16, $D$11, 100%, $F$11)</f>
        <v>19.053799999999999</v>
      </c>
      <c r="H629" s="4">
        <f>CHOOSE( CONTROL!$C$33, 19.9311, 19.93) * CHOOSE(CONTROL!$C$16, $D$11, 100%, $F$11)</f>
        <v>19.931100000000001</v>
      </c>
      <c r="I629" s="8">
        <f>CHOOSE( CONTROL!$C$33, 18.8516, 18.8506) * CHOOSE(CONTROL!$C$16, $D$11, 100%, $F$11)</f>
        <v>18.851600000000001</v>
      </c>
      <c r="J629" s="4">
        <f>CHOOSE( CONTROL!$C$33, 18.6807, 18.6796) * CHOOSE(CONTROL!$C$16, $D$11, 100%, $F$11)</f>
        <v>18.680700000000002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60326</v>
      </c>
      <c r="B630" s="8">
        <f>CHOOSE( CONTROL!$C$33, 18.0132, 18.0121) * CHOOSE(CONTROL!$C$16, $D$11, 100%, $F$11)</f>
        <v>18.013200000000001</v>
      </c>
      <c r="C630" s="8">
        <f>CHOOSE( CONTROL!$C$33, 18.0183, 18.0172) * CHOOSE(CONTROL!$C$16, $D$11, 100%, $F$11)</f>
        <v>18.0183</v>
      </c>
      <c r="D630" s="8">
        <f>CHOOSE( CONTROL!$C$33, 18.0208, 18.0198) * CHOOSE( CONTROL!$C$16, $D$11, 100%, $F$11)</f>
        <v>18.020800000000001</v>
      </c>
      <c r="E630" s="12">
        <f>CHOOSE( CONTROL!$C$33, 18.0193, 18.0183) * CHOOSE( CONTROL!$C$16, $D$11, 100%, $F$11)</f>
        <v>18.019300000000001</v>
      </c>
      <c r="F630" s="4">
        <f>CHOOSE( CONTROL!$C$33, 18.6733, 18.6723) * CHOOSE(CONTROL!$C$16, $D$11, 100%, $F$11)</f>
        <v>18.673300000000001</v>
      </c>
      <c r="G630" s="8">
        <f>CHOOSE( CONTROL!$C$33, 17.824, 17.8229) * CHOOSE( CONTROL!$C$16, $D$11, 100%, $F$11)</f>
        <v>17.824000000000002</v>
      </c>
      <c r="H630" s="4">
        <f>CHOOSE( CONTROL!$C$33, 18.7013, 18.7002) * CHOOSE(CONTROL!$C$16, $D$11, 100%, $F$11)</f>
        <v>18.7013</v>
      </c>
      <c r="I630" s="8">
        <f>CHOOSE( CONTROL!$C$33, 17.6432, 17.6421) * CHOOSE(CONTROL!$C$16, $D$11, 100%, $F$11)</f>
        <v>17.6432</v>
      </c>
      <c r="J630" s="4">
        <f>CHOOSE( CONTROL!$C$33, 17.4731, 17.472) * CHOOSE(CONTROL!$C$16, $D$11, 100%, $F$11)</f>
        <v>17.473099999999999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60357</v>
      </c>
      <c r="B631" s="8">
        <f>CHOOSE( CONTROL!$C$33, 17.63, 17.6289) * CHOOSE(CONTROL!$C$16, $D$11, 100%, $F$11)</f>
        <v>17.63</v>
      </c>
      <c r="C631" s="8">
        <f>CHOOSE( CONTROL!$C$33, 17.635, 17.634) * CHOOSE(CONTROL!$C$16, $D$11, 100%, $F$11)</f>
        <v>17.635000000000002</v>
      </c>
      <c r="D631" s="8">
        <f>CHOOSE( CONTROL!$C$33, 17.6369, 17.6358) * CHOOSE( CONTROL!$C$16, $D$11, 100%, $F$11)</f>
        <v>17.636900000000001</v>
      </c>
      <c r="E631" s="12">
        <f>CHOOSE( CONTROL!$C$33, 17.6357, 17.6346) * CHOOSE( CONTROL!$C$16, $D$11, 100%, $F$11)</f>
        <v>17.6357</v>
      </c>
      <c r="F631" s="4">
        <f>CHOOSE( CONTROL!$C$33, 18.2901, 18.289) * CHOOSE(CONTROL!$C$16, $D$11, 100%, $F$11)</f>
        <v>18.290099999999999</v>
      </c>
      <c r="G631" s="8">
        <f>CHOOSE( CONTROL!$C$33, 17.4447, 17.4437) * CHOOSE( CONTROL!$C$16, $D$11, 100%, $F$11)</f>
        <v>17.444700000000001</v>
      </c>
      <c r="H631" s="4">
        <f>CHOOSE( CONTROL!$C$33, 18.3226, 18.3215) * CHOOSE(CONTROL!$C$16, $D$11, 100%, $F$11)</f>
        <v>18.322600000000001</v>
      </c>
      <c r="I631" s="8">
        <f>CHOOSE( CONTROL!$C$33, 17.2689, 17.2678) * CHOOSE(CONTROL!$C$16, $D$11, 100%, $F$11)</f>
        <v>17.268899999999999</v>
      </c>
      <c r="J631" s="4">
        <f>CHOOSE( CONTROL!$C$33, 17.1011, 17.1001) * CHOOSE(CONTROL!$C$16, $D$11, 100%, $F$11)</f>
        <v>17.101099999999999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60387</v>
      </c>
      <c r="B632" s="8">
        <f>CHOOSE( CONTROL!$C$33, 17.8985, 17.8975) * CHOOSE(CONTROL!$C$16, $D$11, 100%, $F$11)</f>
        <v>17.898499999999999</v>
      </c>
      <c r="C632" s="8">
        <f>CHOOSE( CONTROL!$C$33, 17.903, 17.902) * CHOOSE(CONTROL!$C$16, $D$11, 100%, $F$11)</f>
        <v>17.902999999999999</v>
      </c>
      <c r="D632" s="8">
        <f>CHOOSE( CONTROL!$C$33, 17.9274, 17.9263) * CHOOSE( CONTROL!$C$16, $D$11, 100%, $F$11)</f>
        <v>17.927399999999999</v>
      </c>
      <c r="E632" s="12">
        <f>CHOOSE( CONTROL!$C$33, 17.9188, 17.9178) * CHOOSE( CONTROL!$C$16, $D$11, 100%, $F$11)</f>
        <v>17.918800000000001</v>
      </c>
      <c r="F632" s="4">
        <f>CHOOSE( CONTROL!$C$33, 18.6275, 18.6264) * CHOOSE(CONTROL!$C$16, $D$11, 100%, $F$11)</f>
        <v>18.627500000000001</v>
      </c>
      <c r="G632" s="8">
        <f>CHOOSE( CONTROL!$C$33, 17.7191, 17.718) * CHOOSE( CONTROL!$C$16, $D$11, 100%, $F$11)</f>
        <v>17.719100000000001</v>
      </c>
      <c r="H632" s="4">
        <f>CHOOSE( CONTROL!$C$33, 18.656, 18.6549) * CHOOSE(CONTROL!$C$16, $D$11, 100%, $F$11)</f>
        <v>18.655999999999999</v>
      </c>
      <c r="I632" s="8">
        <f>CHOOSE( CONTROL!$C$33, 17.4942, 17.4931) * CHOOSE(CONTROL!$C$16, $D$11, 100%, $F$11)</f>
        <v>17.494199999999999</v>
      </c>
      <c r="J632" s="4">
        <f>CHOOSE( CONTROL!$C$33, 17.361, 17.36) * CHOOSE(CONTROL!$C$16, $D$11, 100%, $F$11)</f>
        <v>17.361000000000001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1.2509999999999999</v>
      </c>
      <c r="Q632" s="9">
        <v>19.053000000000001</v>
      </c>
      <c r="R632" s="9"/>
      <c r="S632" s="11"/>
    </row>
    <row r="633" spans="1:19" ht="15.75">
      <c r="A633" s="13">
        <v>60418</v>
      </c>
      <c r="B633" s="8">
        <f>CHOOSE( CONTROL!$C$33, 18.3771, 18.3755) * CHOOSE(CONTROL!$C$16, $D$11, 100%, $F$11)</f>
        <v>18.377099999999999</v>
      </c>
      <c r="C633" s="8">
        <f>CHOOSE( CONTROL!$C$33, 18.3851, 18.3834) * CHOOSE(CONTROL!$C$16, $D$11, 100%, $F$11)</f>
        <v>18.385100000000001</v>
      </c>
      <c r="D633" s="8">
        <f>CHOOSE( CONTROL!$C$33, 18.4034, 18.4017) * CHOOSE( CONTROL!$C$16, $D$11, 100%, $F$11)</f>
        <v>18.403400000000001</v>
      </c>
      <c r="E633" s="12">
        <f>CHOOSE( CONTROL!$C$33, 18.3955, 18.3939) * CHOOSE( CONTROL!$C$16, $D$11, 100%, $F$11)</f>
        <v>18.395499999999998</v>
      </c>
      <c r="F633" s="4">
        <f>CHOOSE( CONTROL!$C$33, 19.1047, 19.103) * CHOOSE(CONTROL!$C$16, $D$11, 100%, $F$11)</f>
        <v>19.104700000000001</v>
      </c>
      <c r="G633" s="8">
        <f>CHOOSE( CONTROL!$C$33, 18.1906, 18.189) * CHOOSE( CONTROL!$C$16, $D$11, 100%, $F$11)</f>
        <v>18.1906</v>
      </c>
      <c r="H633" s="4">
        <f>CHOOSE( CONTROL!$C$33, 19.1276, 19.1259) * CHOOSE(CONTROL!$C$16, $D$11, 100%, $F$11)</f>
        <v>19.127600000000001</v>
      </c>
      <c r="I633" s="8">
        <f>CHOOSE( CONTROL!$C$33, 17.9569, 17.9553) * CHOOSE(CONTROL!$C$16, $D$11, 100%, $F$11)</f>
        <v>17.956900000000001</v>
      </c>
      <c r="J633" s="4">
        <f>CHOOSE( CONTROL!$C$33, 17.8242, 17.8226) * CHOOSE(CONTROL!$C$16, $D$11, 100%, $F$11)</f>
        <v>17.824200000000001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1.2927</v>
      </c>
      <c r="Q633" s="9">
        <v>19.688099999999999</v>
      </c>
      <c r="R633" s="9"/>
      <c r="S633" s="11"/>
    </row>
    <row r="634" spans="1:19" ht="15.75">
      <c r="A634" s="13">
        <v>60448</v>
      </c>
      <c r="B634" s="8">
        <f>CHOOSE( CONTROL!$C$33, 18.0819, 18.0802) * CHOOSE(CONTROL!$C$16, $D$11, 100%, $F$11)</f>
        <v>18.081900000000001</v>
      </c>
      <c r="C634" s="8">
        <f>CHOOSE( CONTROL!$C$33, 18.0898, 18.0882) * CHOOSE(CONTROL!$C$16, $D$11, 100%, $F$11)</f>
        <v>18.0898</v>
      </c>
      <c r="D634" s="8">
        <f>CHOOSE( CONTROL!$C$33, 18.1084, 18.1067) * CHOOSE( CONTROL!$C$16, $D$11, 100%, $F$11)</f>
        <v>18.1084</v>
      </c>
      <c r="E634" s="12">
        <f>CHOOSE( CONTROL!$C$33, 18.1005, 18.0988) * CHOOSE( CONTROL!$C$16, $D$11, 100%, $F$11)</f>
        <v>18.1005</v>
      </c>
      <c r="F634" s="4">
        <f>CHOOSE( CONTROL!$C$33, 18.8094, 18.8077) * CHOOSE(CONTROL!$C$16, $D$11, 100%, $F$11)</f>
        <v>18.8094</v>
      </c>
      <c r="G634" s="8">
        <f>CHOOSE( CONTROL!$C$33, 17.899, 17.8974) * CHOOSE( CONTROL!$C$16, $D$11, 100%, $F$11)</f>
        <v>17.899000000000001</v>
      </c>
      <c r="H634" s="4">
        <f>CHOOSE( CONTROL!$C$33, 18.8358, 18.8341) * CHOOSE(CONTROL!$C$16, $D$11, 100%, $F$11)</f>
        <v>18.835799999999999</v>
      </c>
      <c r="I634" s="8">
        <f>CHOOSE( CONTROL!$C$33, 17.6711, 17.6695) * CHOOSE(CONTROL!$C$16, $D$11, 100%, $F$11)</f>
        <v>17.671099999999999</v>
      </c>
      <c r="J634" s="4">
        <f>CHOOSE( CONTROL!$C$33, 17.5376, 17.536) * CHOOSE(CONTROL!$C$16, $D$11, 100%, $F$11)</f>
        <v>17.537600000000001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1.2509999999999999</v>
      </c>
      <c r="Q634" s="9">
        <v>19.053000000000001</v>
      </c>
      <c r="R634" s="9"/>
      <c r="S634" s="11"/>
    </row>
    <row r="635" spans="1:19" ht="15.75">
      <c r="A635" s="13">
        <v>60479</v>
      </c>
      <c r="B635" s="8">
        <f>CHOOSE( CONTROL!$C$33, 18.8594, 18.8577) * CHOOSE(CONTROL!$C$16, $D$11, 100%, $F$11)</f>
        <v>18.859400000000001</v>
      </c>
      <c r="C635" s="8">
        <f>CHOOSE( CONTROL!$C$33, 18.8673, 18.8657) * CHOOSE(CONTROL!$C$16, $D$11, 100%, $F$11)</f>
        <v>18.8673</v>
      </c>
      <c r="D635" s="8">
        <f>CHOOSE( CONTROL!$C$33, 18.8861, 18.8845) * CHOOSE( CONTROL!$C$16, $D$11, 100%, $F$11)</f>
        <v>18.886099999999999</v>
      </c>
      <c r="E635" s="12">
        <f>CHOOSE( CONTROL!$C$33, 18.8781, 18.8765) * CHOOSE( CONTROL!$C$16, $D$11, 100%, $F$11)</f>
        <v>18.8781</v>
      </c>
      <c r="F635" s="4">
        <f>CHOOSE( CONTROL!$C$33, 19.5869, 19.5853) * CHOOSE(CONTROL!$C$16, $D$11, 100%, $F$11)</f>
        <v>19.5869</v>
      </c>
      <c r="G635" s="8">
        <f>CHOOSE( CONTROL!$C$33, 18.6676, 18.666) * CHOOSE( CONTROL!$C$16, $D$11, 100%, $F$11)</f>
        <v>18.6676</v>
      </c>
      <c r="H635" s="4">
        <f>CHOOSE( CONTROL!$C$33, 19.6042, 19.6025) * CHOOSE(CONTROL!$C$16, $D$11, 100%, $F$11)</f>
        <v>19.604199999999999</v>
      </c>
      <c r="I635" s="8">
        <f>CHOOSE( CONTROL!$C$33, 18.4269, 18.4253) * CHOOSE(CONTROL!$C$16, $D$11, 100%, $F$11)</f>
        <v>18.4269</v>
      </c>
      <c r="J635" s="4">
        <f>CHOOSE( CONTROL!$C$33, 18.2922, 18.2906) * CHOOSE(CONTROL!$C$16, $D$11, 100%, $F$11)</f>
        <v>18.292200000000001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1.2927</v>
      </c>
      <c r="Q635" s="9">
        <v>19.688099999999999</v>
      </c>
      <c r="R635" s="9"/>
      <c r="S635" s="11"/>
    </row>
    <row r="636" spans="1:19" ht="15.75">
      <c r="A636" s="13">
        <v>60510</v>
      </c>
      <c r="B636" s="8">
        <f>CHOOSE( CONTROL!$C$33, 17.4046, 17.4029) * CHOOSE(CONTROL!$C$16, $D$11, 100%, $F$11)</f>
        <v>17.404599999999999</v>
      </c>
      <c r="C636" s="8">
        <f>CHOOSE( CONTROL!$C$33, 17.4125, 17.4109) * CHOOSE(CONTROL!$C$16, $D$11, 100%, $F$11)</f>
        <v>17.412500000000001</v>
      </c>
      <c r="D636" s="8">
        <f>CHOOSE( CONTROL!$C$33, 17.4314, 17.4297) * CHOOSE( CONTROL!$C$16, $D$11, 100%, $F$11)</f>
        <v>17.4314</v>
      </c>
      <c r="E636" s="12">
        <f>CHOOSE( CONTROL!$C$33, 17.4233, 17.4217) * CHOOSE( CONTROL!$C$16, $D$11, 100%, $F$11)</f>
        <v>17.423300000000001</v>
      </c>
      <c r="F636" s="4">
        <f>CHOOSE( CONTROL!$C$33, 18.1321, 18.1304) * CHOOSE(CONTROL!$C$16, $D$11, 100%, $F$11)</f>
        <v>18.132100000000001</v>
      </c>
      <c r="G636" s="8">
        <f>CHOOSE( CONTROL!$C$33, 17.2299, 17.2283) * CHOOSE( CONTROL!$C$16, $D$11, 100%, $F$11)</f>
        <v>17.229900000000001</v>
      </c>
      <c r="H636" s="4">
        <f>CHOOSE( CONTROL!$C$33, 18.1664, 18.1648) * CHOOSE(CONTROL!$C$16, $D$11, 100%, $F$11)</f>
        <v>18.166399999999999</v>
      </c>
      <c r="I636" s="8">
        <f>CHOOSE( CONTROL!$C$33, 17.0146, 17.0129) * CHOOSE(CONTROL!$C$16, $D$11, 100%, $F$11)</f>
        <v>17.014600000000002</v>
      </c>
      <c r="J636" s="4">
        <f>CHOOSE( CONTROL!$C$33, 16.8803, 16.8787) * CHOOSE(CONTROL!$C$16, $D$11, 100%, $F$11)</f>
        <v>16.880299999999998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1.2927</v>
      </c>
      <c r="Q636" s="9">
        <v>19.688099999999999</v>
      </c>
      <c r="R636" s="9"/>
      <c r="S636" s="11"/>
    </row>
    <row r="637" spans="1:19" ht="15.75">
      <c r="A637" s="13">
        <v>60540</v>
      </c>
      <c r="B637" s="8">
        <f>CHOOSE( CONTROL!$C$33, 17.0403, 17.0386) * CHOOSE(CONTROL!$C$16, $D$11, 100%, $F$11)</f>
        <v>17.040299999999998</v>
      </c>
      <c r="C637" s="8">
        <f>CHOOSE( CONTROL!$C$33, 17.0482, 17.0466) * CHOOSE(CONTROL!$C$16, $D$11, 100%, $F$11)</f>
        <v>17.048200000000001</v>
      </c>
      <c r="D637" s="8">
        <f>CHOOSE( CONTROL!$C$33, 17.067, 17.0653) * CHOOSE( CONTROL!$C$16, $D$11, 100%, $F$11)</f>
        <v>17.067</v>
      </c>
      <c r="E637" s="12">
        <f>CHOOSE( CONTROL!$C$33, 17.059, 17.0573) * CHOOSE( CONTROL!$C$16, $D$11, 100%, $F$11)</f>
        <v>17.059000000000001</v>
      </c>
      <c r="F637" s="4">
        <f>CHOOSE( CONTROL!$C$33, 17.7678, 17.7661) * CHOOSE(CONTROL!$C$16, $D$11, 100%, $F$11)</f>
        <v>17.767800000000001</v>
      </c>
      <c r="G637" s="8">
        <f>CHOOSE( CONTROL!$C$33, 16.8698, 16.8681) * CHOOSE( CONTROL!$C$16, $D$11, 100%, $F$11)</f>
        <v>16.869800000000001</v>
      </c>
      <c r="H637" s="4">
        <f>CHOOSE( CONTROL!$C$33, 17.8064, 17.8047) * CHOOSE(CONTROL!$C$16, $D$11, 100%, $F$11)</f>
        <v>17.8064</v>
      </c>
      <c r="I637" s="8">
        <f>CHOOSE( CONTROL!$C$33, 16.6604, 16.6588) * CHOOSE(CONTROL!$C$16, $D$11, 100%, $F$11)</f>
        <v>16.660399999999999</v>
      </c>
      <c r="J637" s="4">
        <f>CHOOSE( CONTROL!$C$33, 16.5267, 16.5251) * CHOOSE(CONTROL!$C$16, $D$11, 100%, $F$11)</f>
        <v>16.526700000000002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1.2509999999999999</v>
      </c>
      <c r="Q637" s="9">
        <v>19.053000000000001</v>
      </c>
      <c r="R637" s="9"/>
      <c r="S637" s="11"/>
    </row>
    <row r="638" spans="1:19" ht="15.75">
      <c r="A638" s="13">
        <v>60571</v>
      </c>
      <c r="B638" s="8">
        <f>CHOOSE( CONTROL!$C$33, 17.7944, 17.7933) * CHOOSE(CONTROL!$C$16, $D$11, 100%, $F$11)</f>
        <v>17.7944</v>
      </c>
      <c r="C638" s="8">
        <f>CHOOSE( CONTROL!$C$33, 17.7997, 17.7986) * CHOOSE(CONTROL!$C$16, $D$11, 100%, $F$11)</f>
        <v>17.799700000000001</v>
      </c>
      <c r="D638" s="8">
        <f>CHOOSE( CONTROL!$C$33, 17.8241, 17.823) * CHOOSE( CONTROL!$C$16, $D$11, 100%, $F$11)</f>
        <v>17.824100000000001</v>
      </c>
      <c r="E638" s="12">
        <f>CHOOSE( CONTROL!$C$33, 17.8155, 17.8144) * CHOOSE( CONTROL!$C$16, $D$11, 100%, $F$11)</f>
        <v>17.8155</v>
      </c>
      <c r="F638" s="4">
        <f>CHOOSE( CONTROL!$C$33, 18.5236, 18.5226) * CHOOSE(CONTROL!$C$16, $D$11, 100%, $F$11)</f>
        <v>18.523599999999998</v>
      </c>
      <c r="G638" s="8">
        <f>CHOOSE( CONTROL!$C$33, 17.6169, 17.6159) * CHOOSE( CONTROL!$C$16, $D$11, 100%, $F$11)</f>
        <v>17.616900000000001</v>
      </c>
      <c r="H638" s="4">
        <f>CHOOSE( CONTROL!$C$33, 18.5534, 18.5523) * CHOOSE(CONTROL!$C$16, $D$11, 100%, $F$11)</f>
        <v>18.5534</v>
      </c>
      <c r="I638" s="8">
        <f>CHOOSE( CONTROL!$C$33, 17.3953, 17.3942) * CHOOSE(CONTROL!$C$16, $D$11, 100%, $F$11)</f>
        <v>17.395299999999999</v>
      </c>
      <c r="J638" s="4">
        <f>CHOOSE( CONTROL!$C$33, 17.2603, 17.2592) * CHOOSE(CONTROL!$C$16, $D$11, 100%, $F$11)</f>
        <v>17.260300000000001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1.2927</v>
      </c>
      <c r="Q638" s="9">
        <v>19.688099999999999</v>
      </c>
      <c r="R638" s="9"/>
      <c r="S638" s="11"/>
    </row>
    <row r="639" spans="1:19" ht="15.75">
      <c r="A639" s="13">
        <v>60601</v>
      </c>
      <c r="B639" s="8">
        <f>CHOOSE( CONTROL!$C$33, 19.1902, 19.1891) * CHOOSE(CONTROL!$C$16, $D$11, 100%, $F$11)</f>
        <v>19.190200000000001</v>
      </c>
      <c r="C639" s="8">
        <f>CHOOSE( CONTROL!$C$33, 19.1952, 19.1942) * CHOOSE(CONTROL!$C$16, $D$11, 100%, $F$11)</f>
        <v>19.1952</v>
      </c>
      <c r="D639" s="8">
        <f>CHOOSE( CONTROL!$C$33, 19.1856, 19.1845) * CHOOSE( CONTROL!$C$16, $D$11, 100%, $F$11)</f>
        <v>19.185600000000001</v>
      </c>
      <c r="E639" s="12">
        <f>CHOOSE( CONTROL!$C$33, 19.1886, 19.1875) * CHOOSE( CONTROL!$C$16, $D$11, 100%, $F$11)</f>
        <v>19.188600000000001</v>
      </c>
      <c r="F639" s="4">
        <f>CHOOSE( CONTROL!$C$33, 19.8503, 19.8492) * CHOOSE(CONTROL!$C$16, $D$11, 100%, $F$11)</f>
        <v>19.850300000000001</v>
      </c>
      <c r="G639" s="8">
        <f>CHOOSE( CONTROL!$C$33, 18.9833, 18.9823) * CHOOSE( CONTROL!$C$16, $D$11, 100%, $F$11)</f>
        <v>18.9833</v>
      </c>
      <c r="H639" s="4">
        <f>CHOOSE( CONTROL!$C$33, 19.8645, 19.8634) * CHOOSE(CONTROL!$C$16, $D$11, 100%, $F$11)</f>
        <v>19.8645</v>
      </c>
      <c r="I639" s="8">
        <f>CHOOSE( CONTROL!$C$33, 18.8103, 18.8092) * CHOOSE(CONTROL!$C$16, $D$11, 100%, $F$11)</f>
        <v>18.810300000000002</v>
      </c>
      <c r="J639" s="4">
        <f>CHOOSE( CONTROL!$C$33, 18.6153, 18.6142) * CHOOSE(CONTROL!$C$16, $D$11, 100%, $F$11)</f>
        <v>18.615300000000001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60632</v>
      </c>
      <c r="B640" s="8">
        <f>CHOOSE( CONTROL!$C$33, 19.1553, 19.1542) * CHOOSE(CONTROL!$C$16, $D$11, 100%, $F$11)</f>
        <v>19.1553</v>
      </c>
      <c r="C640" s="8">
        <f>CHOOSE( CONTROL!$C$33, 19.1604, 19.1593) * CHOOSE(CONTROL!$C$16, $D$11, 100%, $F$11)</f>
        <v>19.160399999999999</v>
      </c>
      <c r="D640" s="8">
        <f>CHOOSE( CONTROL!$C$33, 19.1522, 19.1511) * CHOOSE( CONTROL!$C$16, $D$11, 100%, $F$11)</f>
        <v>19.152200000000001</v>
      </c>
      <c r="E640" s="12">
        <f>CHOOSE( CONTROL!$C$33, 19.1547, 19.1536) * CHOOSE( CONTROL!$C$16, $D$11, 100%, $F$11)</f>
        <v>19.154699999999998</v>
      </c>
      <c r="F640" s="4">
        <f>CHOOSE( CONTROL!$C$33, 19.8154, 19.8143) * CHOOSE(CONTROL!$C$16, $D$11, 100%, $F$11)</f>
        <v>19.8154</v>
      </c>
      <c r="G640" s="8">
        <f>CHOOSE( CONTROL!$C$33, 18.9499, 18.9488) * CHOOSE( CONTROL!$C$16, $D$11, 100%, $F$11)</f>
        <v>18.9499</v>
      </c>
      <c r="H640" s="4">
        <f>CHOOSE( CONTROL!$C$33, 19.83, 19.8289) * CHOOSE(CONTROL!$C$16, $D$11, 100%, $F$11)</f>
        <v>19.829999999999998</v>
      </c>
      <c r="I640" s="8">
        <f>CHOOSE( CONTROL!$C$33, 18.7809, 18.7798) * CHOOSE(CONTROL!$C$16, $D$11, 100%, $F$11)</f>
        <v>18.780899999999999</v>
      </c>
      <c r="J640" s="4">
        <f>CHOOSE( CONTROL!$C$33, 18.5814, 18.5804) * CHOOSE(CONTROL!$C$16, $D$11, 100%, $F$11)</f>
        <v>18.581399999999999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60663</v>
      </c>
      <c r="B641" s="8">
        <f>CHOOSE( CONTROL!$C$33, 19.72, 19.7189) * CHOOSE(CONTROL!$C$16, $D$11, 100%, $F$11)</f>
        <v>19.72</v>
      </c>
      <c r="C641" s="8">
        <f>CHOOSE( CONTROL!$C$33, 19.7251, 19.724) * CHOOSE(CONTROL!$C$16, $D$11, 100%, $F$11)</f>
        <v>19.725100000000001</v>
      </c>
      <c r="D641" s="8">
        <f>CHOOSE( CONTROL!$C$33, 19.7277, 19.7266) * CHOOSE( CONTROL!$C$16, $D$11, 100%, $F$11)</f>
        <v>19.727699999999999</v>
      </c>
      <c r="E641" s="12">
        <f>CHOOSE( CONTROL!$C$33, 19.7262, 19.7251) * CHOOSE( CONTROL!$C$16, $D$11, 100%, $F$11)</f>
        <v>19.726199999999999</v>
      </c>
      <c r="F641" s="4">
        <f>CHOOSE( CONTROL!$C$33, 20.3801, 20.379) * CHOOSE(CONTROL!$C$16, $D$11, 100%, $F$11)</f>
        <v>20.380099999999999</v>
      </c>
      <c r="G641" s="8">
        <f>CHOOSE( CONTROL!$C$33, 19.5108, 19.5098) * CHOOSE( CONTROL!$C$16, $D$11, 100%, $F$11)</f>
        <v>19.5108</v>
      </c>
      <c r="H641" s="4">
        <f>CHOOSE( CONTROL!$C$33, 20.3881, 20.387) * CHOOSE(CONTROL!$C$16, $D$11, 100%, $F$11)</f>
        <v>20.388100000000001</v>
      </c>
      <c r="I641" s="8">
        <f>CHOOSE( CONTROL!$C$33, 19.3007, 19.2996) * CHOOSE(CONTROL!$C$16, $D$11, 100%, $F$11)</f>
        <v>19.300699999999999</v>
      </c>
      <c r="J641" s="4">
        <f>CHOOSE( CONTROL!$C$33, 19.1295, 19.1285) * CHOOSE(CONTROL!$C$16, $D$11, 100%, $F$11)</f>
        <v>19.1295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60691</v>
      </c>
      <c r="B642" s="8">
        <f>CHOOSE( CONTROL!$C$33, 18.4458, 18.4447) * CHOOSE(CONTROL!$C$16, $D$11, 100%, $F$11)</f>
        <v>18.445799999999998</v>
      </c>
      <c r="C642" s="8">
        <f>CHOOSE( CONTROL!$C$33, 18.4509, 18.4498) * CHOOSE(CONTROL!$C$16, $D$11, 100%, $F$11)</f>
        <v>18.450900000000001</v>
      </c>
      <c r="D642" s="8">
        <f>CHOOSE( CONTROL!$C$33, 18.4534, 18.4523) * CHOOSE( CONTROL!$C$16, $D$11, 100%, $F$11)</f>
        <v>18.453399999999998</v>
      </c>
      <c r="E642" s="12">
        <f>CHOOSE( CONTROL!$C$33, 18.4519, 18.4508) * CHOOSE( CONTROL!$C$16, $D$11, 100%, $F$11)</f>
        <v>18.451899999999998</v>
      </c>
      <c r="F642" s="4">
        <f>CHOOSE( CONTROL!$C$33, 19.1059, 19.1048) * CHOOSE(CONTROL!$C$16, $D$11, 100%, $F$11)</f>
        <v>19.105899999999998</v>
      </c>
      <c r="G642" s="8">
        <f>CHOOSE( CONTROL!$C$33, 18.2515, 18.2504) * CHOOSE( CONTROL!$C$16, $D$11, 100%, $F$11)</f>
        <v>18.2515</v>
      </c>
      <c r="H642" s="4">
        <f>CHOOSE( CONTROL!$C$33, 19.1288, 19.1277) * CHOOSE(CONTROL!$C$16, $D$11, 100%, $F$11)</f>
        <v>19.128799999999998</v>
      </c>
      <c r="I642" s="8">
        <f>CHOOSE( CONTROL!$C$33, 18.0632, 18.0621) * CHOOSE(CONTROL!$C$16, $D$11, 100%, $F$11)</f>
        <v>18.063199999999998</v>
      </c>
      <c r="J642" s="4">
        <f>CHOOSE( CONTROL!$C$33, 17.8929, 17.8918) * CHOOSE(CONTROL!$C$16, $D$11, 100%, $F$11)</f>
        <v>17.892900000000001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60722</v>
      </c>
      <c r="B643" s="8">
        <f>CHOOSE( CONTROL!$C$33, 18.0533, 18.0523) * CHOOSE(CONTROL!$C$16, $D$11, 100%, $F$11)</f>
        <v>18.0533</v>
      </c>
      <c r="C643" s="8">
        <f>CHOOSE( CONTROL!$C$33, 18.0584, 18.0573) * CHOOSE(CONTROL!$C$16, $D$11, 100%, $F$11)</f>
        <v>18.058399999999999</v>
      </c>
      <c r="D643" s="8">
        <f>CHOOSE( CONTROL!$C$33, 18.0603, 18.0592) * CHOOSE( CONTROL!$C$16, $D$11, 100%, $F$11)</f>
        <v>18.060300000000002</v>
      </c>
      <c r="E643" s="12">
        <f>CHOOSE( CONTROL!$C$33, 18.0591, 18.058) * CHOOSE( CONTROL!$C$16, $D$11, 100%, $F$11)</f>
        <v>18.059100000000001</v>
      </c>
      <c r="F643" s="4">
        <f>CHOOSE( CONTROL!$C$33, 18.7135, 18.7124) * CHOOSE(CONTROL!$C$16, $D$11, 100%, $F$11)</f>
        <v>18.7135</v>
      </c>
      <c r="G643" s="8">
        <f>CHOOSE( CONTROL!$C$33, 17.8631, 17.8621) * CHOOSE( CONTROL!$C$16, $D$11, 100%, $F$11)</f>
        <v>17.863099999999999</v>
      </c>
      <c r="H643" s="4">
        <f>CHOOSE( CONTROL!$C$33, 18.741, 18.7399) * CHOOSE(CONTROL!$C$16, $D$11, 100%, $F$11)</f>
        <v>18.741</v>
      </c>
      <c r="I643" s="8">
        <f>CHOOSE( CONTROL!$C$33, 17.68, 17.6789) * CHOOSE(CONTROL!$C$16, $D$11, 100%, $F$11)</f>
        <v>17.68</v>
      </c>
      <c r="J643" s="4">
        <f>CHOOSE( CONTROL!$C$33, 17.512, 17.511) * CHOOSE(CONTROL!$C$16, $D$11, 100%, $F$11)</f>
        <v>17.512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60752</v>
      </c>
      <c r="B644" s="8">
        <f>CHOOSE( CONTROL!$C$33, 18.3283, 18.3273) * CHOOSE(CONTROL!$C$16, $D$11, 100%, $F$11)</f>
        <v>18.328299999999999</v>
      </c>
      <c r="C644" s="8">
        <f>CHOOSE( CONTROL!$C$33, 18.3328, 18.3318) * CHOOSE(CONTROL!$C$16, $D$11, 100%, $F$11)</f>
        <v>18.332799999999999</v>
      </c>
      <c r="D644" s="8">
        <f>CHOOSE( CONTROL!$C$33, 18.3572, 18.3561) * CHOOSE( CONTROL!$C$16, $D$11, 100%, $F$11)</f>
        <v>18.357199999999999</v>
      </c>
      <c r="E644" s="12">
        <f>CHOOSE( CONTROL!$C$33, 18.3486, 18.3476) * CHOOSE( CONTROL!$C$16, $D$11, 100%, $F$11)</f>
        <v>18.348600000000001</v>
      </c>
      <c r="F644" s="4">
        <f>CHOOSE( CONTROL!$C$33, 19.0573, 19.0562) * CHOOSE(CONTROL!$C$16, $D$11, 100%, $F$11)</f>
        <v>19.057300000000001</v>
      </c>
      <c r="G644" s="8">
        <f>CHOOSE( CONTROL!$C$33, 18.1439, 18.1428) * CHOOSE( CONTROL!$C$16, $D$11, 100%, $F$11)</f>
        <v>18.143899999999999</v>
      </c>
      <c r="H644" s="4">
        <f>CHOOSE( CONTROL!$C$33, 19.0807, 19.0796) * CHOOSE(CONTROL!$C$16, $D$11, 100%, $F$11)</f>
        <v>19.0807</v>
      </c>
      <c r="I644" s="8">
        <f>CHOOSE( CONTROL!$C$33, 17.9115, 17.9105) * CHOOSE(CONTROL!$C$16, $D$11, 100%, $F$11)</f>
        <v>17.9115</v>
      </c>
      <c r="J644" s="4">
        <f>CHOOSE( CONTROL!$C$33, 17.7782, 17.7771) * CHOOSE(CONTROL!$C$16, $D$11, 100%, $F$11)</f>
        <v>17.778199999999998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1.2509999999999999</v>
      </c>
      <c r="Q644" s="9">
        <v>19.053000000000001</v>
      </c>
      <c r="R644" s="9"/>
      <c r="S644" s="11"/>
    </row>
    <row r="645" spans="1:19" ht="15.75">
      <c r="A645" s="13">
        <v>60783</v>
      </c>
      <c r="B645" s="8">
        <f>CHOOSE( CONTROL!$C$33, 18.8184, 18.8167) * CHOOSE(CONTROL!$C$16, $D$11, 100%, $F$11)</f>
        <v>18.8184</v>
      </c>
      <c r="C645" s="8">
        <f>CHOOSE( CONTROL!$C$33, 18.8263, 18.8247) * CHOOSE(CONTROL!$C$16, $D$11, 100%, $F$11)</f>
        <v>18.8263</v>
      </c>
      <c r="D645" s="8">
        <f>CHOOSE( CONTROL!$C$33, 18.8446, 18.843) * CHOOSE( CONTROL!$C$16, $D$11, 100%, $F$11)</f>
        <v>18.8446</v>
      </c>
      <c r="E645" s="12">
        <f>CHOOSE( CONTROL!$C$33, 18.8368, 18.8351) * CHOOSE( CONTROL!$C$16, $D$11, 100%, $F$11)</f>
        <v>18.8368</v>
      </c>
      <c r="F645" s="4">
        <f>CHOOSE( CONTROL!$C$33, 19.5459, 19.5442) * CHOOSE(CONTROL!$C$16, $D$11, 100%, $F$11)</f>
        <v>19.5459</v>
      </c>
      <c r="G645" s="8">
        <f>CHOOSE( CONTROL!$C$33, 18.6267, 18.625) * CHOOSE( CONTROL!$C$16, $D$11, 100%, $F$11)</f>
        <v>18.6267</v>
      </c>
      <c r="H645" s="4">
        <f>CHOOSE( CONTROL!$C$33, 19.5637, 19.562) * CHOOSE(CONTROL!$C$16, $D$11, 100%, $F$11)</f>
        <v>19.563700000000001</v>
      </c>
      <c r="I645" s="8">
        <f>CHOOSE( CONTROL!$C$33, 18.3854, 18.3838) * CHOOSE(CONTROL!$C$16, $D$11, 100%, $F$11)</f>
        <v>18.385400000000001</v>
      </c>
      <c r="J645" s="4">
        <f>CHOOSE( CONTROL!$C$33, 18.2524, 18.2508) * CHOOSE(CONTROL!$C$16, $D$11, 100%, $F$11)</f>
        <v>18.252400000000002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1.2927</v>
      </c>
      <c r="Q645" s="9">
        <v>19.688099999999999</v>
      </c>
      <c r="R645" s="9"/>
      <c r="S645" s="11"/>
    </row>
    <row r="646" spans="1:19" ht="15.75">
      <c r="A646" s="13">
        <v>60813</v>
      </c>
      <c r="B646" s="8">
        <f>CHOOSE( CONTROL!$C$33, 18.516, 18.5143) * CHOOSE(CONTROL!$C$16, $D$11, 100%, $F$11)</f>
        <v>18.515999999999998</v>
      </c>
      <c r="C646" s="8">
        <f>CHOOSE( CONTROL!$C$33, 18.524, 18.5223) * CHOOSE(CONTROL!$C$16, $D$11, 100%, $F$11)</f>
        <v>18.524000000000001</v>
      </c>
      <c r="D646" s="8">
        <f>CHOOSE( CONTROL!$C$33, 18.5425, 18.5409) * CHOOSE( CONTROL!$C$16, $D$11, 100%, $F$11)</f>
        <v>18.5425</v>
      </c>
      <c r="E646" s="12">
        <f>CHOOSE( CONTROL!$C$33, 18.5346, 18.5329) * CHOOSE( CONTROL!$C$16, $D$11, 100%, $F$11)</f>
        <v>18.534600000000001</v>
      </c>
      <c r="F646" s="4">
        <f>CHOOSE( CONTROL!$C$33, 19.2436, 19.2419) * CHOOSE(CONTROL!$C$16, $D$11, 100%, $F$11)</f>
        <v>19.243600000000001</v>
      </c>
      <c r="G646" s="8">
        <f>CHOOSE( CONTROL!$C$33, 18.3281, 18.3264) * CHOOSE( CONTROL!$C$16, $D$11, 100%, $F$11)</f>
        <v>18.328099999999999</v>
      </c>
      <c r="H646" s="4">
        <f>CHOOSE( CONTROL!$C$33, 19.2648, 19.2632) * CHOOSE(CONTROL!$C$16, $D$11, 100%, $F$11)</f>
        <v>19.264800000000001</v>
      </c>
      <c r="I646" s="8">
        <f>CHOOSE( CONTROL!$C$33, 18.0926, 18.091) * CHOOSE(CONTROL!$C$16, $D$11, 100%, $F$11)</f>
        <v>18.092600000000001</v>
      </c>
      <c r="J646" s="4">
        <f>CHOOSE( CONTROL!$C$33, 17.959, 17.9574) * CHOOSE(CONTROL!$C$16, $D$11, 100%, $F$11)</f>
        <v>17.959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1.2509999999999999</v>
      </c>
      <c r="Q646" s="9">
        <v>19.053000000000001</v>
      </c>
      <c r="R646" s="9"/>
      <c r="S646" s="11"/>
    </row>
    <row r="647" spans="1:19" ht="15.75">
      <c r="A647" s="13">
        <v>60844</v>
      </c>
      <c r="B647" s="8">
        <f>CHOOSE( CONTROL!$C$33, 19.3122, 19.3105) * CHOOSE(CONTROL!$C$16, $D$11, 100%, $F$11)</f>
        <v>19.312200000000001</v>
      </c>
      <c r="C647" s="8">
        <f>CHOOSE( CONTROL!$C$33, 19.3202, 19.3185) * CHOOSE(CONTROL!$C$16, $D$11, 100%, $F$11)</f>
        <v>19.3202</v>
      </c>
      <c r="D647" s="8">
        <f>CHOOSE( CONTROL!$C$33, 19.339, 19.3373) * CHOOSE( CONTROL!$C$16, $D$11, 100%, $F$11)</f>
        <v>19.338999999999999</v>
      </c>
      <c r="E647" s="12">
        <f>CHOOSE( CONTROL!$C$33, 19.331, 19.3293) * CHOOSE( CONTROL!$C$16, $D$11, 100%, $F$11)</f>
        <v>19.331</v>
      </c>
      <c r="F647" s="4">
        <f>CHOOSE( CONTROL!$C$33, 20.0398, 20.0381) * CHOOSE(CONTROL!$C$16, $D$11, 100%, $F$11)</f>
        <v>20.0398</v>
      </c>
      <c r="G647" s="8">
        <f>CHOOSE( CONTROL!$C$33, 19.1151, 19.1135) * CHOOSE( CONTROL!$C$16, $D$11, 100%, $F$11)</f>
        <v>19.115100000000002</v>
      </c>
      <c r="H647" s="4">
        <f>CHOOSE( CONTROL!$C$33, 20.0517, 20.0501) * CHOOSE(CONTROL!$C$16, $D$11, 100%, $F$11)</f>
        <v>20.0517</v>
      </c>
      <c r="I647" s="8">
        <f>CHOOSE( CONTROL!$C$33, 18.8666, 18.865) * CHOOSE(CONTROL!$C$16, $D$11, 100%, $F$11)</f>
        <v>18.866599999999998</v>
      </c>
      <c r="J647" s="4">
        <f>CHOOSE( CONTROL!$C$33, 18.7317, 18.7301) * CHOOSE(CONTROL!$C$16, $D$11, 100%, $F$11)</f>
        <v>18.7317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1.2927</v>
      </c>
      <c r="Q647" s="9">
        <v>19.688099999999999</v>
      </c>
      <c r="R647" s="9"/>
      <c r="S647" s="11"/>
    </row>
    <row r="648" spans="1:19" ht="15.75">
      <c r="A648" s="13">
        <v>60875</v>
      </c>
      <c r="B648" s="8">
        <f>CHOOSE( CONTROL!$C$33, 17.8224, 17.8208) * CHOOSE(CONTROL!$C$16, $D$11, 100%, $F$11)</f>
        <v>17.822399999999998</v>
      </c>
      <c r="C648" s="8">
        <f>CHOOSE( CONTROL!$C$33, 17.8304, 17.8288) * CHOOSE(CONTROL!$C$16, $D$11, 100%, $F$11)</f>
        <v>17.830400000000001</v>
      </c>
      <c r="D648" s="8">
        <f>CHOOSE( CONTROL!$C$33, 17.8493, 17.8476) * CHOOSE( CONTROL!$C$16, $D$11, 100%, $F$11)</f>
        <v>17.849299999999999</v>
      </c>
      <c r="E648" s="12">
        <f>CHOOSE( CONTROL!$C$33, 17.8412, 17.8396) * CHOOSE( CONTROL!$C$16, $D$11, 100%, $F$11)</f>
        <v>17.841200000000001</v>
      </c>
      <c r="F648" s="4">
        <f>CHOOSE( CONTROL!$C$33, 18.55, 18.5483) * CHOOSE(CONTROL!$C$16, $D$11, 100%, $F$11)</f>
        <v>18.55</v>
      </c>
      <c r="G648" s="8">
        <f>CHOOSE( CONTROL!$C$33, 17.6429, 17.6412) * CHOOSE( CONTROL!$C$16, $D$11, 100%, $F$11)</f>
        <v>17.642900000000001</v>
      </c>
      <c r="H648" s="4">
        <f>CHOOSE( CONTROL!$C$33, 18.5794, 18.5778) * CHOOSE(CONTROL!$C$16, $D$11, 100%, $F$11)</f>
        <v>18.5794</v>
      </c>
      <c r="I648" s="8">
        <f>CHOOSE( CONTROL!$C$33, 17.4203, 17.4187) * CHOOSE(CONTROL!$C$16, $D$11, 100%, $F$11)</f>
        <v>17.420300000000001</v>
      </c>
      <c r="J648" s="4">
        <f>CHOOSE( CONTROL!$C$33, 17.2859, 17.2842) * CHOOSE(CONTROL!$C$16, $D$11, 100%, $F$11)</f>
        <v>17.285900000000002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1.2927</v>
      </c>
      <c r="Q648" s="9">
        <v>19.688099999999999</v>
      </c>
      <c r="R648" s="9"/>
      <c r="S648" s="11"/>
    </row>
    <row r="649" spans="1:19" ht="15.75">
      <c r="A649" s="13">
        <v>60905</v>
      </c>
      <c r="B649" s="8">
        <f>CHOOSE( CONTROL!$C$33, 17.4494, 17.4477) * CHOOSE(CONTROL!$C$16, $D$11, 100%, $F$11)</f>
        <v>17.449400000000001</v>
      </c>
      <c r="C649" s="8">
        <f>CHOOSE( CONTROL!$C$33, 17.4574, 17.4557) * CHOOSE(CONTROL!$C$16, $D$11, 100%, $F$11)</f>
        <v>17.4574</v>
      </c>
      <c r="D649" s="8">
        <f>CHOOSE( CONTROL!$C$33, 17.4761, 17.4745) * CHOOSE( CONTROL!$C$16, $D$11, 100%, $F$11)</f>
        <v>17.476099999999999</v>
      </c>
      <c r="E649" s="12">
        <f>CHOOSE( CONTROL!$C$33, 17.4681, 17.4665) * CHOOSE( CONTROL!$C$16, $D$11, 100%, $F$11)</f>
        <v>17.4681</v>
      </c>
      <c r="F649" s="4">
        <f>CHOOSE( CONTROL!$C$33, 18.1769, 18.1753) * CHOOSE(CONTROL!$C$16, $D$11, 100%, $F$11)</f>
        <v>18.1769</v>
      </c>
      <c r="G649" s="8">
        <f>CHOOSE( CONTROL!$C$33, 17.2741, 17.2725) * CHOOSE( CONTROL!$C$16, $D$11, 100%, $F$11)</f>
        <v>17.274100000000001</v>
      </c>
      <c r="H649" s="4">
        <f>CHOOSE( CONTROL!$C$33, 18.2107, 18.2091) * CHOOSE(CONTROL!$C$16, $D$11, 100%, $F$11)</f>
        <v>18.210699999999999</v>
      </c>
      <c r="I649" s="8">
        <f>CHOOSE( CONTROL!$C$33, 17.0577, 17.0561) * CHOOSE(CONTROL!$C$16, $D$11, 100%, $F$11)</f>
        <v>17.057700000000001</v>
      </c>
      <c r="J649" s="4">
        <f>CHOOSE( CONTROL!$C$33, 16.9238, 16.9222) * CHOOSE(CONTROL!$C$16, $D$11, 100%, $F$11)</f>
        <v>16.9238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1.2509999999999999</v>
      </c>
      <c r="Q649" s="9">
        <v>19.053000000000001</v>
      </c>
      <c r="R649" s="9"/>
      <c r="S649" s="11"/>
    </row>
    <row r="650" spans="1:19" ht="15.75">
      <c r="A650" s="13">
        <v>60936</v>
      </c>
      <c r="B650" s="8">
        <f>CHOOSE( CONTROL!$C$33, 18.2217, 18.2206) * CHOOSE(CONTROL!$C$16, $D$11, 100%, $F$11)</f>
        <v>18.221699999999998</v>
      </c>
      <c r="C650" s="8">
        <f>CHOOSE( CONTROL!$C$33, 18.227, 18.2259) * CHOOSE(CONTROL!$C$16, $D$11, 100%, $F$11)</f>
        <v>18.227</v>
      </c>
      <c r="D650" s="8">
        <f>CHOOSE( CONTROL!$C$33, 18.2514, 18.2503) * CHOOSE( CONTROL!$C$16, $D$11, 100%, $F$11)</f>
        <v>18.2514</v>
      </c>
      <c r="E650" s="12">
        <f>CHOOSE( CONTROL!$C$33, 18.2428, 18.2417) * CHOOSE( CONTROL!$C$16, $D$11, 100%, $F$11)</f>
        <v>18.242799999999999</v>
      </c>
      <c r="F650" s="4">
        <f>CHOOSE( CONTROL!$C$33, 18.9509, 18.9499) * CHOOSE(CONTROL!$C$16, $D$11, 100%, $F$11)</f>
        <v>18.950900000000001</v>
      </c>
      <c r="G650" s="8">
        <f>CHOOSE( CONTROL!$C$33, 18.0392, 18.0382) * CHOOSE( CONTROL!$C$16, $D$11, 100%, $F$11)</f>
        <v>18.039200000000001</v>
      </c>
      <c r="H650" s="4">
        <f>CHOOSE( CONTROL!$C$33, 18.9757, 18.9746) * CHOOSE(CONTROL!$C$16, $D$11, 100%, $F$11)</f>
        <v>18.9757</v>
      </c>
      <c r="I650" s="8">
        <f>CHOOSE( CONTROL!$C$33, 17.8102, 17.8091) * CHOOSE(CONTROL!$C$16, $D$11, 100%, $F$11)</f>
        <v>17.810199999999998</v>
      </c>
      <c r="J650" s="4">
        <f>CHOOSE( CONTROL!$C$33, 17.675, 17.6739) * CHOOSE(CONTROL!$C$16, $D$11, 100%, $F$11)</f>
        <v>17.675000000000001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1.2927</v>
      </c>
      <c r="Q650" s="9">
        <v>19.688099999999999</v>
      </c>
      <c r="R650" s="9"/>
      <c r="S650" s="11"/>
    </row>
    <row r="651" spans="1:19" ht="15.75">
      <c r="A651" s="13">
        <v>60966</v>
      </c>
      <c r="B651" s="8">
        <f>CHOOSE( CONTROL!$C$33, 19.651, 19.6499) * CHOOSE(CONTROL!$C$16, $D$11, 100%, $F$11)</f>
        <v>19.651</v>
      </c>
      <c r="C651" s="8">
        <f>CHOOSE( CONTROL!$C$33, 19.6561, 19.655) * CHOOSE(CONTROL!$C$16, $D$11, 100%, $F$11)</f>
        <v>19.656099999999999</v>
      </c>
      <c r="D651" s="8">
        <f>CHOOSE( CONTROL!$C$33, 19.6465, 19.6454) * CHOOSE( CONTROL!$C$16, $D$11, 100%, $F$11)</f>
        <v>19.6465</v>
      </c>
      <c r="E651" s="12">
        <f>CHOOSE( CONTROL!$C$33, 19.6495, 19.6484) * CHOOSE( CONTROL!$C$16, $D$11, 100%, $F$11)</f>
        <v>19.6495</v>
      </c>
      <c r="F651" s="4">
        <f>CHOOSE( CONTROL!$C$33, 20.3111, 20.3101) * CHOOSE(CONTROL!$C$16, $D$11, 100%, $F$11)</f>
        <v>20.3111</v>
      </c>
      <c r="G651" s="8">
        <f>CHOOSE( CONTROL!$C$33, 19.4388, 19.4377) * CHOOSE( CONTROL!$C$16, $D$11, 100%, $F$11)</f>
        <v>19.438800000000001</v>
      </c>
      <c r="H651" s="4">
        <f>CHOOSE( CONTROL!$C$33, 20.3199, 20.3188) * CHOOSE(CONTROL!$C$16, $D$11, 100%, $F$11)</f>
        <v>20.319900000000001</v>
      </c>
      <c r="I651" s="8">
        <f>CHOOSE( CONTROL!$C$33, 19.2578, 19.2567) * CHOOSE(CONTROL!$C$16, $D$11, 100%, $F$11)</f>
        <v>19.2578</v>
      </c>
      <c r="J651" s="4">
        <f>CHOOSE( CONTROL!$C$33, 19.0626, 19.0615) * CHOOSE(CONTROL!$C$16, $D$11, 100%, $F$11)</f>
        <v>19.0626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60997</v>
      </c>
      <c r="B652" s="8">
        <f>CHOOSE( CONTROL!$C$33, 19.6153, 19.6142) * CHOOSE(CONTROL!$C$16, $D$11, 100%, $F$11)</f>
        <v>19.615300000000001</v>
      </c>
      <c r="C652" s="8">
        <f>CHOOSE( CONTROL!$C$33, 19.6204, 19.6193) * CHOOSE(CONTROL!$C$16, $D$11, 100%, $F$11)</f>
        <v>19.6204</v>
      </c>
      <c r="D652" s="8">
        <f>CHOOSE( CONTROL!$C$33, 19.6122, 19.6111) * CHOOSE( CONTROL!$C$16, $D$11, 100%, $F$11)</f>
        <v>19.612200000000001</v>
      </c>
      <c r="E652" s="12">
        <f>CHOOSE( CONTROL!$C$33, 19.6147, 19.6136) * CHOOSE( CONTROL!$C$16, $D$11, 100%, $F$11)</f>
        <v>19.614699999999999</v>
      </c>
      <c r="F652" s="4">
        <f>CHOOSE( CONTROL!$C$33, 20.2754, 20.2743) * CHOOSE(CONTROL!$C$16, $D$11, 100%, $F$11)</f>
        <v>20.275400000000001</v>
      </c>
      <c r="G652" s="8">
        <f>CHOOSE( CONTROL!$C$33, 19.4045, 19.4034) * CHOOSE( CONTROL!$C$16, $D$11, 100%, $F$11)</f>
        <v>19.404499999999999</v>
      </c>
      <c r="H652" s="4">
        <f>CHOOSE( CONTROL!$C$33, 20.2846, 20.2835) * CHOOSE(CONTROL!$C$16, $D$11, 100%, $F$11)</f>
        <v>20.284600000000001</v>
      </c>
      <c r="I652" s="8">
        <f>CHOOSE( CONTROL!$C$33, 19.2275, 19.2265) * CHOOSE(CONTROL!$C$16, $D$11, 100%, $F$11)</f>
        <v>19.227499999999999</v>
      </c>
      <c r="J652" s="4">
        <f>CHOOSE( CONTROL!$C$33, 19.0279, 19.0268) * CHOOSE(CONTROL!$C$16, $D$11, 100%, $F$11)</f>
        <v>19.027899999999999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61028</v>
      </c>
      <c r="B653" s="8">
        <f>CHOOSE( CONTROL!$C$33, 20.1936, 20.1925) * CHOOSE(CONTROL!$C$16, $D$11, 100%, $F$11)</f>
        <v>20.1936</v>
      </c>
      <c r="C653" s="8">
        <f>CHOOSE( CONTROL!$C$33, 20.1987, 20.1976) * CHOOSE(CONTROL!$C$16, $D$11, 100%, $F$11)</f>
        <v>20.198699999999999</v>
      </c>
      <c r="D653" s="8">
        <f>CHOOSE( CONTROL!$C$33, 20.2013, 20.2002) * CHOOSE( CONTROL!$C$16, $D$11, 100%, $F$11)</f>
        <v>20.2013</v>
      </c>
      <c r="E653" s="12">
        <f>CHOOSE( CONTROL!$C$33, 20.1998, 20.1987) * CHOOSE( CONTROL!$C$16, $D$11, 100%, $F$11)</f>
        <v>20.1998</v>
      </c>
      <c r="F653" s="4">
        <f>CHOOSE( CONTROL!$C$33, 20.8537, 20.8526) * CHOOSE(CONTROL!$C$16, $D$11, 100%, $F$11)</f>
        <v>20.8537</v>
      </c>
      <c r="G653" s="8">
        <f>CHOOSE( CONTROL!$C$33, 19.9789, 19.9778) * CHOOSE( CONTROL!$C$16, $D$11, 100%, $F$11)</f>
        <v>19.978899999999999</v>
      </c>
      <c r="H653" s="4">
        <f>CHOOSE( CONTROL!$C$33, 20.8561, 20.8551) * CHOOSE(CONTROL!$C$16, $D$11, 100%, $F$11)</f>
        <v>20.856100000000001</v>
      </c>
      <c r="I653" s="8">
        <f>CHOOSE( CONTROL!$C$33, 19.7605, 19.7595) * CHOOSE(CONTROL!$C$16, $D$11, 100%, $F$11)</f>
        <v>19.7605</v>
      </c>
      <c r="J653" s="4">
        <f>CHOOSE( CONTROL!$C$33, 19.5891, 19.5881) * CHOOSE(CONTROL!$C$16, $D$11, 100%, $F$11)</f>
        <v>19.589099999999998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61056</v>
      </c>
      <c r="B654" s="8">
        <f>CHOOSE( CONTROL!$C$33, 18.8887, 18.8877) * CHOOSE(CONTROL!$C$16, $D$11, 100%, $F$11)</f>
        <v>18.8887</v>
      </c>
      <c r="C654" s="8">
        <f>CHOOSE( CONTROL!$C$33, 18.8938, 18.8927) * CHOOSE(CONTROL!$C$16, $D$11, 100%, $F$11)</f>
        <v>18.893799999999999</v>
      </c>
      <c r="D654" s="8">
        <f>CHOOSE( CONTROL!$C$33, 18.8964, 18.8953) * CHOOSE( CONTROL!$C$16, $D$11, 100%, $F$11)</f>
        <v>18.8964</v>
      </c>
      <c r="E654" s="12">
        <f>CHOOSE( CONTROL!$C$33, 18.8949, 18.8938) * CHOOSE( CONTROL!$C$16, $D$11, 100%, $F$11)</f>
        <v>18.8949</v>
      </c>
      <c r="F654" s="4">
        <f>CHOOSE( CONTROL!$C$33, 19.5489, 19.5478) * CHOOSE(CONTROL!$C$16, $D$11, 100%, $F$11)</f>
        <v>19.5489</v>
      </c>
      <c r="G654" s="8">
        <f>CHOOSE( CONTROL!$C$33, 18.6893, 18.6882) * CHOOSE( CONTROL!$C$16, $D$11, 100%, $F$11)</f>
        <v>18.689299999999999</v>
      </c>
      <c r="H654" s="4">
        <f>CHOOSE( CONTROL!$C$33, 19.5666, 19.5655) * CHOOSE(CONTROL!$C$16, $D$11, 100%, $F$11)</f>
        <v>19.566600000000001</v>
      </c>
      <c r="I654" s="8">
        <f>CHOOSE( CONTROL!$C$33, 18.4933, 18.4922) * CHOOSE(CONTROL!$C$16, $D$11, 100%, $F$11)</f>
        <v>18.493300000000001</v>
      </c>
      <c r="J654" s="4">
        <f>CHOOSE( CONTROL!$C$33, 18.3228, 18.3217) * CHOOSE(CONTROL!$C$16, $D$11, 100%, $F$11)</f>
        <v>18.322800000000001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61087</v>
      </c>
      <c r="B655" s="8">
        <f>CHOOSE( CONTROL!$C$33, 18.4869, 18.4858) * CHOOSE(CONTROL!$C$16, $D$11, 100%, $F$11)</f>
        <v>18.486899999999999</v>
      </c>
      <c r="C655" s="8">
        <f>CHOOSE( CONTROL!$C$33, 18.4919, 18.4909) * CHOOSE(CONTROL!$C$16, $D$11, 100%, $F$11)</f>
        <v>18.491900000000001</v>
      </c>
      <c r="D655" s="8">
        <f>CHOOSE( CONTROL!$C$33, 18.4938, 18.4927) * CHOOSE( CONTROL!$C$16, $D$11, 100%, $F$11)</f>
        <v>18.4938</v>
      </c>
      <c r="E655" s="12">
        <f>CHOOSE( CONTROL!$C$33, 18.4926, 18.4915) * CHOOSE( CONTROL!$C$16, $D$11, 100%, $F$11)</f>
        <v>18.492599999999999</v>
      </c>
      <c r="F655" s="4">
        <f>CHOOSE( CONTROL!$C$33, 19.147, 19.1459) * CHOOSE(CONTROL!$C$16, $D$11, 100%, $F$11)</f>
        <v>19.146999999999998</v>
      </c>
      <c r="G655" s="8">
        <f>CHOOSE( CONTROL!$C$33, 18.2916, 18.2905) * CHOOSE( CONTROL!$C$16, $D$11, 100%, $F$11)</f>
        <v>18.291599999999999</v>
      </c>
      <c r="H655" s="4">
        <f>CHOOSE( CONTROL!$C$33, 19.1694, 19.1683) * CHOOSE(CONTROL!$C$16, $D$11, 100%, $F$11)</f>
        <v>19.1694</v>
      </c>
      <c r="I655" s="8">
        <f>CHOOSE( CONTROL!$C$33, 18.1009, 18.0999) * CHOOSE(CONTROL!$C$16, $D$11, 100%, $F$11)</f>
        <v>18.100899999999999</v>
      </c>
      <c r="J655" s="4">
        <f>CHOOSE( CONTROL!$C$33, 17.9328, 17.9317) * CHOOSE(CONTROL!$C$16, $D$11, 100%, $F$11)</f>
        <v>17.9328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61117</v>
      </c>
      <c r="B656" s="8">
        <f>CHOOSE( CONTROL!$C$33, 18.7685, 18.7674) * CHOOSE(CONTROL!$C$16, $D$11, 100%, $F$11)</f>
        <v>18.7685</v>
      </c>
      <c r="C656" s="8">
        <f>CHOOSE( CONTROL!$C$33, 18.773, 18.7719) * CHOOSE(CONTROL!$C$16, $D$11, 100%, $F$11)</f>
        <v>18.773</v>
      </c>
      <c r="D656" s="8">
        <f>CHOOSE( CONTROL!$C$33, 18.7973, 18.7962) * CHOOSE( CONTROL!$C$16, $D$11, 100%, $F$11)</f>
        <v>18.7973</v>
      </c>
      <c r="E656" s="12">
        <f>CHOOSE( CONTROL!$C$33, 18.7888, 18.7877) * CHOOSE( CONTROL!$C$16, $D$11, 100%, $F$11)</f>
        <v>18.788799999999998</v>
      </c>
      <c r="F656" s="4">
        <f>CHOOSE( CONTROL!$C$33, 19.4974, 19.4963) * CHOOSE(CONTROL!$C$16, $D$11, 100%, $F$11)</f>
        <v>19.497399999999999</v>
      </c>
      <c r="G656" s="8">
        <f>CHOOSE( CONTROL!$C$33, 18.5788, 18.5778) * CHOOSE( CONTROL!$C$16, $D$11, 100%, $F$11)</f>
        <v>18.578800000000001</v>
      </c>
      <c r="H656" s="4">
        <f>CHOOSE( CONTROL!$C$33, 19.5157, 19.5146) * CHOOSE(CONTROL!$C$16, $D$11, 100%, $F$11)</f>
        <v>19.515699999999999</v>
      </c>
      <c r="I656" s="8">
        <f>CHOOSE( CONTROL!$C$33, 18.3389, 18.3378) * CHOOSE(CONTROL!$C$16, $D$11, 100%, $F$11)</f>
        <v>18.338899999999999</v>
      </c>
      <c r="J656" s="4">
        <f>CHOOSE( CONTROL!$C$33, 18.2053, 18.2042) * CHOOSE(CONTROL!$C$16, $D$11, 100%, $F$11)</f>
        <v>18.205300000000001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1.2509999999999999</v>
      </c>
      <c r="Q656" s="9">
        <v>19.053000000000001</v>
      </c>
      <c r="R656" s="9"/>
      <c r="S656" s="11"/>
    </row>
    <row r="657" spans="1:19" ht="15.75">
      <c r="A657" s="13">
        <v>61148</v>
      </c>
      <c r="B657" s="8">
        <f>CHOOSE( CONTROL!$C$33, 19.2702, 19.2685) * CHOOSE(CONTROL!$C$16, $D$11, 100%, $F$11)</f>
        <v>19.270199999999999</v>
      </c>
      <c r="C657" s="8">
        <f>CHOOSE( CONTROL!$C$33, 19.2782, 19.2765) * CHOOSE(CONTROL!$C$16, $D$11, 100%, $F$11)</f>
        <v>19.278199999999998</v>
      </c>
      <c r="D657" s="8">
        <f>CHOOSE( CONTROL!$C$33, 19.2965, 19.2948) * CHOOSE( CONTROL!$C$16, $D$11, 100%, $F$11)</f>
        <v>19.296500000000002</v>
      </c>
      <c r="E657" s="12">
        <f>CHOOSE( CONTROL!$C$33, 19.2886, 19.2869) * CHOOSE( CONTROL!$C$16, $D$11, 100%, $F$11)</f>
        <v>19.288599999999999</v>
      </c>
      <c r="F657" s="4">
        <f>CHOOSE( CONTROL!$C$33, 19.9978, 19.9961) * CHOOSE(CONTROL!$C$16, $D$11, 100%, $F$11)</f>
        <v>19.997800000000002</v>
      </c>
      <c r="G657" s="8">
        <f>CHOOSE( CONTROL!$C$33, 19.0732, 19.0716) * CHOOSE( CONTROL!$C$16, $D$11, 100%, $F$11)</f>
        <v>19.0732</v>
      </c>
      <c r="H657" s="4">
        <f>CHOOSE( CONTROL!$C$33, 20.0102, 20.0086) * CHOOSE(CONTROL!$C$16, $D$11, 100%, $F$11)</f>
        <v>20.010200000000001</v>
      </c>
      <c r="I657" s="8">
        <f>CHOOSE( CONTROL!$C$33, 18.8241, 18.8225) * CHOOSE(CONTROL!$C$16, $D$11, 100%, $F$11)</f>
        <v>18.824100000000001</v>
      </c>
      <c r="J657" s="4">
        <f>CHOOSE( CONTROL!$C$33, 18.6909, 18.6893) * CHOOSE(CONTROL!$C$16, $D$11, 100%, $F$11)</f>
        <v>18.690899999999999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1.2927</v>
      </c>
      <c r="Q657" s="9">
        <v>19.688099999999999</v>
      </c>
      <c r="R657" s="9"/>
      <c r="S657" s="11"/>
    </row>
    <row r="658" spans="1:19" ht="15.75">
      <c r="A658" s="13">
        <v>61178</v>
      </c>
      <c r="B658" s="8">
        <f>CHOOSE( CONTROL!$C$33, 18.9606, 18.9589) * CHOOSE(CONTROL!$C$16, $D$11, 100%, $F$11)</f>
        <v>18.960599999999999</v>
      </c>
      <c r="C658" s="8">
        <f>CHOOSE( CONTROL!$C$33, 18.9686, 18.9669) * CHOOSE(CONTROL!$C$16, $D$11, 100%, $F$11)</f>
        <v>18.968599999999999</v>
      </c>
      <c r="D658" s="8">
        <f>CHOOSE( CONTROL!$C$33, 18.9871, 18.9855) * CHOOSE( CONTROL!$C$16, $D$11, 100%, $F$11)</f>
        <v>18.987100000000002</v>
      </c>
      <c r="E658" s="12">
        <f>CHOOSE( CONTROL!$C$33, 18.9792, 18.9775) * CHOOSE( CONTROL!$C$16, $D$11, 100%, $F$11)</f>
        <v>18.979199999999999</v>
      </c>
      <c r="F658" s="4">
        <f>CHOOSE( CONTROL!$C$33, 19.6881, 19.6865) * CHOOSE(CONTROL!$C$16, $D$11, 100%, $F$11)</f>
        <v>19.688099999999999</v>
      </c>
      <c r="G658" s="8">
        <f>CHOOSE( CONTROL!$C$33, 18.7674, 18.7658) * CHOOSE( CONTROL!$C$16, $D$11, 100%, $F$11)</f>
        <v>18.767399999999999</v>
      </c>
      <c r="H658" s="4">
        <f>CHOOSE( CONTROL!$C$33, 19.7042, 19.7026) * CHOOSE(CONTROL!$C$16, $D$11, 100%, $F$11)</f>
        <v>19.7042</v>
      </c>
      <c r="I658" s="8">
        <f>CHOOSE( CONTROL!$C$33, 18.5243, 18.5227) * CHOOSE(CONTROL!$C$16, $D$11, 100%, $F$11)</f>
        <v>18.5243</v>
      </c>
      <c r="J658" s="4">
        <f>CHOOSE( CONTROL!$C$33, 18.3904, 18.3888) * CHOOSE(CONTROL!$C$16, $D$11, 100%, $F$11)</f>
        <v>18.3904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1.2509999999999999</v>
      </c>
      <c r="Q658" s="9">
        <v>19.053000000000001</v>
      </c>
      <c r="R658" s="9"/>
      <c r="S658" s="11"/>
    </row>
    <row r="659" spans="1:19" ht="15.75">
      <c r="A659" s="13">
        <v>61209</v>
      </c>
      <c r="B659" s="8">
        <f>CHOOSE( CONTROL!$C$33, 19.7759, 19.7743) * CHOOSE(CONTROL!$C$16, $D$11, 100%, $F$11)</f>
        <v>19.7759</v>
      </c>
      <c r="C659" s="8">
        <f>CHOOSE( CONTROL!$C$33, 19.7839, 19.7822) * CHOOSE(CONTROL!$C$16, $D$11, 100%, $F$11)</f>
        <v>19.783899999999999</v>
      </c>
      <c r="D659" s="8">
        <f>CHOOSE( CONTROL!$C$33, 19.8027, 19.801) * CHOOSE( CONTROL!$C$16, $D$11, 100%, $F$11)</f>
        <v>19.802700000000002</v>
      </c>
      <c r="E659" s="12">
        <f>CHOOSE( CONTROL!$C$33, 19.7947, 19.793) * CHOOSE( CONTROL!$C$16, $D$11, 100%, $F$11)</f>
        <v>19.794699999999999</v>
      </c>
      <c r="F659" s="4">
        <f>CHOOSE( CONTROL!$C$33, 20.5035, 20.5018) * CHOOSE(CONTROL!$C$16, $D$11, 100%, $F$11)</f>
        <v>20.503499999999999</v>
      </c>
      <c r="G659" s="8">
        <f>CHOOSE( CONTROL!$C$33, 19.5734, 19.5718) * CHOOSE( CONTROL!$C$16, $D$11, 100%, $F$11)</f>
        <v>19.573399999999999</v>
      </c>
      <c r="H659" s="4">
        <f>CHOOSE( CONTROL!$C$33, 20.51, 20.5084) * CHOOSE(CONTROL!$C$16, $D$11, 100%, $F$11)</f>
        <v>20.51</v>
      </c>
      <c r="I659" s="8">
        <f>CHOOSE( CONTROL!$C$33, 19.3169, 19.3152) * CHOOSE(CONTROL!$C$16, $D$11, 100%, $F$11)</f>
        <v>19.3169</v>
      </c>
      <c r="J659" s="4">
        <f>CHOOSE( CONTROL!$C$33, 19.1817, 19.1801) * CHOOSE(CONTROL!$C$16, $D$11, 100%, $F$11)</f>
        <v>19.181699999999999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1.2927</v>
      </c>
      <c r="Q659" s="9">
        <v>19.688099999999999</v>
      </c>
      <c r="R659" s="9"/>
      <c r="S659" s="11"/>
    </row>
    <row r="660" spans="1:19" ht="15.75">
      <c r="A660" s="13">
        <v>61240</v>
      </c>
      <c r="B660" s="8">
        <f>CHOOSE( CONTROL!$C$33, 18.2504, 18.2487) * CHOOSE(CONTROL!$C$16, $D$11, 100%, $F$11)</f>
        <v>18.250399999999999</v>
      </c>
      <c r="C660" s="8">
        <f>CHOOSE( CONTROL!$C$33, 18.2583, 18.2567) * CHOOSE(CONTROL!$C$16, $D$11, 100%, $F$11)</f>
        <v>18.258299999999998</v>
      </c>
      <c r="D660" s="8">
        <f>CHOOSE( CONTROL!$C$33, 18.2772, 18.2755) * CHOOSE( CONTROL!$C$16, $D$11, 100%, $F$11)</f>
        <v>18.277200000000001</v>
      </c>
      <c r="E660" s="12">
        <f>CHOOSE( CONTROL!$C$33, 18.2691, 18.2675) * CHOOSE( CONTROL!$C$16, $D$11, 100%, $F$11)</f>
        <v>18.269100000000002</v>
      </c>
      <c r="F660" s="4">
        <f>CHOOSE( CONTROL!$C$33, 18.9779, 18.9762) * CHOOSE(CONTROL!$C$16, $D$11, 100%, $F$11)</f>
        <v>18.977900000000002</v>
      </c>
      <c r="G660" s="8">
        <f>CHOOSE( CONTROL!$C$33, 18.0658, 18.0641) * CHOOSE( CONTROL!$C$16, $D$11, 100%, $F$11)</f>
        <v>18.065799999999999</v>
      </c>
      <c r="H660" s="4">
        <f>CHOOSE( CONTROL!$C$33, 19.0023, 19.0007) * CHOOSE(CONTROL!$C$16, $D$11, 100%, $F$11)</f>
        <v>19.002300000000002</v>
      </c>
      <c r="I660" s="8">
        <f>CHOOSE( CONTROL!$C$33, 17.8358, 17.8342) * CHOOSE(CONTROL!$C$16, $D$11, 100%, $F$11)</f>
        <v>17.835799999999999</v>
      </c>
      <c r="J660" s="4">
        <f>CHOOSE( CONTROL!$C$33, 17.7011, 17.6995) * CHOOSE(CONTROL!$C$16, $D$11, 100%, $F$11)</f>
        <v>17.7011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1.2927</v>
      </c>
      <c r="Q660" s="9">
        <v>19.688099999999999</v>
      </c>
      <c r="R660" s="9"/>
      <c r="S660" s="11"/>
    </row>
    <row r="661" spans="1:19" ht="15.75">
      <c r="A661" s="13">
        <v>61270</v>
      </c>
      <c r="B661" s="8">
        <f>CHOOSE( CONTROL!$C$33, 17.8683, 17.8667) * CHOOSE(CONTROL!$C$16, $D$11, 100%, $F$11)</f>
        <v>17.868300000000001</v>
      </c>
      <c r="C661" s="8">
        <f>CHOOSE( CONTROL!$C$33, 17.8763, 17.8746) * CHOOSE(CONTROL!$C$16, $D$11, 100%, $F$11)</f>
        <v>17.876300000000001</v>
      </c>
      <c r="D661" s="8">
        <f>CHOOSE( CONTROL!$C$33, 17.8951, 17.8934) * CHOOSE( CONTROL!$C$16, $D$11, 100%, $F$11)</f>
        <v>17.895099999999999</v>
      </c>
      <c r="E661" s="12">
        <f>CHOOSE( CONTROL!$C$33, 17.8871, 17.8854) * CHOOSE( CONTROL!$C$16, $D$11, 100%, $F$11)</f>
        <v>17.8871</v>
      </c>
      <c r="F661" s="4">
        <f>CHOOSE( CONTROL!$C$33, 18.5959, 18.5942) * CHOOSE(CONTROL!$C$16, $D$11, 100%, $F$11)</f>
        <v>18.5959</v>
      </c>
      <c r="G661" s="8">
        <f>CHOOSE( CONTROL!$C$33, 17.6882, 17.6865) * CHOOSE( CONTROL!$C$16, $D$11, 100%, $F$11)</f>
        <v>17.688199999999998</v>
      </c>
      <c r="H661" s="4">
        <f>CHOOSE( CONTROL!$C$33, 18.6248, 18.6231) * CHOOSE(CONTROL!$C$16, $D$11, 100%, $F$11)</f>
        <v>18.6248</v>
      </c>
      <c r="I661" s="8">
        <f>CHOOSE( CONTROL!$C$33, 17.4645, 17.4629) * CHOOSE(CONTROL!$C$16, $D$11, 100%, $F$11)</f>
        <v>17.464500000000001</v>
      </c>
      <c r="J661" s="4">
        <f>CHOOSE( CONTROL!$C$33, 17.3304, 17.3288) * CHOOSE(CONTROL!$C$16, $D$11, 100%, $F$11)</f>
        <v>17.330400000000001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1.2509999999999999</v>
      </c>
      <c r="Q661" s="9">
        <v>19.053000000000001</v>
      </c>
      <c r="R661" s="9"/>
      <c r="S661" s="11"/>
    </row>
    <row r="662" spans="1:19" ht="15.75">
      <c r="A662" s="13">
        <v>61301</v>
      </c>
      <c r="B662" s="8">
        <f>CHOOSE( CONTROL!$C$33, 18.6592, 18.6582) * CHOOSE(CONTROL!$C$16, $D$11, 100%, $F$11)</f>
        <v>18.659199999999998</v>
      </c>
      <c r="C662" s="8">
        <f>CHOOSE( CONTROL!$C$33, 18.6646, 18.6635) * CHOOSE(CONTROL!$C$16, $D$11, 100%, $F$11)</f>
        <v>18.6646</v>
      </c>
      <c r="D662" s="8">
        <f>CHOOSE( CONTROL!$C$33, 18.689, 18.6879) * CHOOSE( CONTROL!$C$16, $D$11, 100%, $F$11)</f>
        <v>18.689</v>
      </c>
      <c r="E662" s="12">
        <f>CHOOSE( CONTROL!$C$33, 18.6804, 18.6793) * CHOOSE( CONTROL!$C$16, $D$11, 100%, $F$11)</f>
        <v>18.680399999999999</v>
      </c>
      <c r="F662" s="4">
        <f>CHOOSE( CONTROL!$C$33, 19.3885, 19.3874) * CHOOSE(CONTROL!$C$16, $D$11, 100%, $F$11)</f>
        <v>19.388500000000001</v>
      </c>
      <c r="G662" s="8">
        <f>CHOOSE( CONTROL!$C$33, 18.4717, 18.4706) * CHOOSE( CONTROL!$C$16, $D$11, 100%, $F$11)</f>
        <v>18.471699999999998</v>
      </c>
      <c r="H662" s="4">
        <f>CHOOSE( CONTROL!$C$33, 19.4081, 19.407) * CHOOSE(CONTROL!$C$16, $D$11, 100%, $F$11)</f>
        <v>19.408100000000001</v>
      </c>
      <c r="I662" s="8">
        <f>CHOOSE( CONTROL!$C$33, 18.235, 18.234) * CHOOSE(CONTROL!$C$16, $D$11, 100%, $F$11)</f>
        <v>18.234999999999999</v>
      </c>
      <c r="J662" s="4">
        <f>CHOOSE( CONTROL!$C$33, 18.0996, 18.0986) * CHOOSE(CONTROL!$C$16, $D$11, 100%, $F$11)</f>
        <v>18.099599999999999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1.2927</v>
      </c>
      <c r="Q662" s="9">
        <v>19.688099999999999</v>
      </c>
      <c r="R662" s="9"/>
      <c r="S662" s="11"/>
    </row>
    <row r="663" spans="1:19" ht="15.75">
      <c r="A663" s="13">
        <v>61331</v>
      </c>
      <c r="B663" s="8">
        <f>CHOOSE( CONTROL!$C$33, 20.1229, 20.1218) * CHOOSE(CONTROL!$C$16, $D$11, 100%, $F$11)</f>
        <v>20.122900000000001</v>
      </c>
      <c r="C663" s="8">
        <f>CHOOSE( CONTROL!$C$33, 20.128, 20.1269) * CHOOSE(CONTROL!$C$16, $D$11, 100%, $F$11)</f>
        <v>20.128</v>
      </c>
      <c r="D663" s="8">
        <f>CHOOSE( CONTROL!$C$33, 20.1184, 20.1173) * CHOOSE( CONTROL!$C$16, $D$11, 100%, $F$11)</f>
        <v>20.118400000000001</v>
      </c>
      <c r="E663" s="12">
        <f>CHOOSE( CONTROL!$C$33, 20.1214, 20.1203) * CHOOSE( CONTROL!$C$16, $D$11, 100%, $F$11)</f>
        <v>20.121400000000001</v>
      </c>
      <c r="F663" s="4">
        <f>CHOOSE( CONTROL!$C$33, 20.7831, 20.782) * CHOOSE(CONTROL!$C$16, $D$11, 100%, $F$11)</f>
        <v>20.783100000000001</v>
      </c>
      <c r="G663" s="8">
        <f>CHOOSE( CONTROL!$C$33, 19.9052, 19.9041) * CHOOSE( CONTROL!$C$16, $D$11, 100%, $F$11)</f>
        <v>19.905200000000001</v>
      </c>
      <c r="H663" s="4">
        <f>CHOOSE( CONTROL!$C$33, 20.7863, 20.7852) * CHOOSE(CONTROL!$C$16, $D$11, 100%, $F$11)</f>
        <v>20.786300000000001</v>
      </c>
      <c r="I663" s="8">
        <f>CHOOSE( CONTROL!$C$33, 19.716, 19.7149) * CHOOSE(CONTROL!$C$16, $D$11, 100%, $F$11)</f>
        <v>19.716000000000001</v>
      </c>
      <c r="J663" s="4">
        <f>CHOOSE( CONTROL!$C$33, 19.5206, 19.5195) * CHOOSE(CONTROL!$C$16, $D$11, 100%, $F$11)</f>
        <v>19.520600000000002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61362</v>
      </c>
      <c r="B664" s="8">
        <f>CHOOSE( CONTROL!$C$33, 20.0863, 20.0853) * CHOOSE(CONTROL!$C$16, $D$11, 100%, $F$11)</f>
        <v>20.086300000000001</v>
      </c>
      <c r="C664" s="8">
        <f>CHOOSE( CONTROL!$C$33, 20.0914, 20.0903) * CHOOSE(CONTROL!$C$16, $D$11, 100%, $F$11)</f>
        <v>20.0914</v>
      </c>
      <c r="D664" s="8">
        <f>CHOOSE( CONTROL!$C$33, 20.0832, 20.0822) * CHOOSE( CONTROL!$C$16, $D$11, 100%, $F$11)</f>
        <v>20.083200000000001</v>
      </c>
      <c r="E664" s="12">
        <f>CHOOSE( CONTROL!$C$33, 20.0857, 20.0846) * CHOOSE( CONTROL!$C$16, $D$11, 100%, $F$11)</f>
        <v>20.085699999999999</v>
      </c>
      <c r="F664" s="4">
        <f>CHOOSE( CONTROL!$C$33, 20.7465, 20.7454) * CHOOSE(CONTROL!$C$16, $D$11, 100%, $F$11)</f>
        <v>20.746500000000001</v>
      </c>
      <c r="G664" s="8">
        <f>CHOOSE( CONTROL!$C$33, 19.8701, 19.869) * CHOOSE( CONTROL!$C$16, $D$11, 100%, $F$11)</f>
        <v>19.870100000000001</v>
      </c>
      <c r="H664" s="4">
        <f>CHOOSE( CONTROL!$C$33, 20.7502, 20.7491) * CHOOSE(CONTROL!$C$16, $D$11, 100%, $F$11)</f>
        <v>20.7502</v>
      </c>
      <c r="I664" s="8">
        <f>CHOOSE( CONTROL!$C$33, 19.6849, 19.6839) * CHOOSE(CONTROL!$C$16, $D$11, 100%, $F$11)</f>
        <v>19.684899999999999</v>
      </c>
      <c r="J664" s="4">
        <f>CHOOSE( CONTROL!$C$33, 19.485, 19.484) * CHOOSE(CONTROL!$C$16, $D$11, 100%, $F$11)</f>
        <v>19.484999999999999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61393</v>
      </c>
      <c r="B665" s="8">
        <f>CHOOSE( CONTROL!$C$33, 20.6785, 20.6775) * CHOOSE(CONTROL!$C$16, $D$11, 100%, $F$11)</f>
        <v>20.6785</v>
      </c>
      <c r="C665" s="8">
        <f>CHOOSE( CONTROL!$C$33, 20.6836, 20.6825) * CHOOSE(CONTROL!$C$16, $D$11, 100%, $F$11)</f>
        <v>20.683599999999998</v>
      </c>
      <c r="D665" s="8">
        <f>CHOOSE( CONTROL!$C$33, 20.6863, 20.6852) * CHOOSE( CONTROL!$C$16, $D$11, 100%, $F$11)</f>
        <v>20.686299999999999</v>
      </c>
      <c r="E665" s="12">
        <f>CHOOSE( CONTROL!$C$33, 20.6848, 20.6837) * CHOOSE( CONTROL!$C$16, $D$11, 100%, $F$11)</f>
        <v>20.684799999999999</v>
      </c>
      <c r="F665" s="4">
        <f>CHOOSE( CONTROL!$C$33, 21.3387, 21.3376) * CHOOSE(CONTROL!$C$16, $D$11, 100%, $F$11)</f>
        <v>21.338699999999999</v>
      </c>
      <c r="G665" s="8">
        <f>CHOOSE( CONTROL!$C$33, 20.4581, 20.4571) * CHOOSE( CONTROL!$C$16, $D$11, 100%, $F$11)</f>
        <v>20.458100000000002</v>
      </c>
      <c r="H665" s="4">
        <f>CHOOSE( CONTROL!$C$33, 21.3354, 21.3343) * CHOOSE(CONTROL!$C$16, $D$11, 100%, $F$11)</f>
        <v>21.3354</v>
      </c>
      <c r="I665" s="8">
        <f>CHOOSE( CONTROL!$C$33, 20.2314, 20.2303) * CHOOSE(CONTROL!$C$16, $D$11, 100%, $F$11)</f>
        <v>20.231400000000001</v>
      </c>
      <c r="J665" s="4">
        <f>CHOOSE( CONTROL!$C$33, 20.0598, 20.0587) * CHOOSE(CONTROL!$C$16, $D$11, 100%, $F$11)</f>
        <v>20.059799999999999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61422</v>
      </c>
      <c r="B666" s="8">
        <f>CHOOSE( CONTROL!$C$33, 19.3424, 19.3413) * CHOOSE(CONTROL!$C$16, $D$11, 100%, $F$11)</f>
        <v>19.342400000000001</v>
      </c>
      <c r="C666" s="8">
        <f>CHOOSE( CONTROL!$C$33, 19.3474, 19.3463) * CHOOSE(CONTROL!$C$16, $D$11, 100%, $F$11)</f>
        <v>19.3474</v>
      </c>
      <c r="D666" s="8">
        <f>CHOOSE( CONTROL!$C$33, 19.35, 19.3489) * CHOOSE( CONTROL!$C$16, $D$11, 100%, $F$11)</f>
        <v>19.350000000000001</v>
      </c>
      <c r="E666" s="12">
        <f>CHOOSE( CONTROL!$C$33, 19.3485, 19.3474) * CHOOSE( CONTROL!$C$16, $D$11, 100%, $F$11)</f>
        <v>19.348500000000001</v>
      </c>
      <c r="F666" s="4">
        <f>CHOOSE( CONTROL!$C$33, 20.0025, 20.0014) * CHOOSE(CONTROL!$C$16, $D$11, 100%, $F$11)</f>
        <v>20.002500000000001</v>
      </c>
      <c r="G666" s="8">
        <f>CHOOSE( CONTROL!$C$33, 19.1375, 19.1365) * CHOOSE( CONTROL!$C$16, $D$11, 100%, $F$11)</f>
        <v>19.137499999999999</v>
      </c>
      <c r="H666" s="4">
        <f>CHOOSE( CONTROL!$C$33, 20.0149, 20.0138) * CHOOSE(CONTROL!$C$16, $D$11, 100%, $F$11)</f>
        <v>20.014900000000001</v>
      </c>
      <c r="I666" s="8">
        <f>CHOOSE( CONTROL!$C$33, 18.9337, 18.9327) * CHOOSE(CONTROL!$C$16, $D$11, 100%, $F$11)</f>
        <v>18.933700000000002</v>
      </c>
      <c r="J666" s="4">
        <f>CHOOSE( CONTROL!$C$33, 18.763, 18.762) * CHOOSE(CONTROL!$C$16, $D$11, 100%, $F$11)</f>
        <v>18.763000000000002</v>
      </c>
      <c r="K666" s="4"/>
      <c r="L666" s="9">
        <v>27.415299999999998</v>
      </c>
      <c r="M666" s="9">
        <v>11.285299999999999</v>
      </c>
      <c r="N666" s="9">
        <v>4.6254999999999997</v>
      </c>
      <c r="O666" s="9">
        <v>0.34989999999999999</v>
      </c>
      <c r="P666" s="9">
        <v>1.2093</v>
      </c>
      <c r="Q666" s="9">
        <v>18.417899999999999</v>
      </c>
      <c r="R666" s="9"/>
      <c r="S666" s="11"/>
    </row>
    <row r="667" spans="1:19" ht="15.75">
      <c r="A667" s="13">
        <v>61453</v>
      </c>
      <c r="B667" s="8">
        <f>CHOOSE( CONTROL!$C$33, 18.9308, 18.9297) * CHOOSE(CONTROL!$C$16, $D$11, 100%, $F$11)</f>
        <v>18.930800000000001</v>
      </c>
      <c r="C667" s="8">
        <f>CHOOSE( CONTROL!$C$33, 18.9359, 18.9348) * CHOOSE(CONTROL!$C$16, $D$11, 100%, $F$11)</f>
        <v>18.9359</v>
      </c>
      <c r="D667" s="8">
        <f>CHOOSE( CONTROL!$C$33, 18.9378, 18.9367) * CHOOSE( CONTROL!$C$16, $D$11, 100%, $F$11)</f>
        <v>18.937799999999999</v>
      </c>
      <c r="E667" s="12">
        <f>CHOOSE( CONTROL!$C$33, 18.9366, 18.9355) * CHOOSE( CONTROL!$C$16, $D$11, 100%, $F$11)</f>
        <v>18.936599999999999</v>
      </c>
      <c r="F667" s="4">
        <f>CHOOSE( CONTROL!$C$33, 19.5909, 19.5899) * CHOOSE(CONTROL!$C$16, $D$11, 100%, $F$11)</f>
        <v>19.590900000000001</v>
      </c>
      <c r="G667" s="8">
        <f>CHOOSE( CONTROL!$C$33, 18.7303, 18.7293) * CHOOSE( CONTROL!$C$16, $D$11, 100%, $F$11)</f>
        <v>18.7303</v>
      </c>
      <c r="H667" s="4">
        <f>CHOOSE( CONTROL!$C$33, 19.6082, 19.6071) * CHOOSE(CONTROL!$C$16, $D$11, 100%, $F$11)</f>
        <v>19.6082</v>
      </c>
      <c r="I667" s="8">
        <f>CHOOSE( CONTROL!$C$33, 18.532, 18.5309) * CHOOSE(CONTROL!$C$16, $D$11, 100%, $F$11)</f>
        <v>18.532</v>
      </c>
      <c r="J667" s="4">
        <f>CHOOSE( CONTROL!$C$33, 18.3636, 18.3626) * CHOOSE(CONTROL!$C$16, $D$11, 100%, $F$11)</f>
        <v>18.363600000000002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61483</v>
      </c>
      <c r="B668" s="8">
        <f>CHOOSE( CONTROL!$C$33, 19.2192, 19.2181) * CHOOSE(CONTROL!$C$16, $D$11, 100%, $F$11)</f>
        <v>19.219200000000001</v>
      </c>
      <c r="C668" s="8">
        <f>CHOOSE( CONTROL!$C$33, 19.2237, 19.2226) * CHOOSE(CONTROL!$C$16, $D$11, 100%, $F$11)</f>
        <v>19.223700000000001</v>
      </c>
      <c r="D668" s="8">
        <f>CHOOSE( CONTROL!$C$33, 19.248, 19.2469) * CHOOSE( CONTROL!$C$16, $D$11, 100%, $F$11)</f>
        <v>19.248000000000001</v>
      </c>
      <c r="E668" s="12">
        <f>CHOOSE( CONTROL!$C$33, 19.2395, 19.2384) * CHOOSE( CONTROL!$C$16, $D$11, 100%, $F$11)</f>
        <v>19.2395</v>
      </c>
      <c r="F668" s="4">
        <f>CHOOSE( CONTROL!$C$33, 19.9481, 19.947) * CHOOSE(CONTROL!$C$16, $D$11, 100%, $F$11)</f>
        <v>19.9481</v>
      </c>
      <c r="G668" s="8">
        <f>CHOOSE( CONTROL!$C$33, 19.0242, 19.0232) * CHOOSE( CONTROL!$C$16, $D$11, 100%, $F$11)</f>
        <v>19.0242</v>
      </c>
      <c r="H668" s="4">
        <f>CHOOSE( CONTROL!$C$33, 19.9611, 19.96) * CHOOSE(CONTROL!$C$16, $D$11, 100%, $F$11)</f>
        <v>19.961099999999998</v>
      </c>
      <c r="I668" s="8">
        <f>CHOOSE( CONTROL!$C$33, 18.7765, 18.7754) * CHOOSE(CONTROL!$C$16, $D$11, 100%, $F$11)</f>
        <v>18.776499999999999</v>
      </c>
      <c r="J668" s="4">
        <f>CHOOSE( CONTROL!$C$33, 18.6427, 18.6416) * CHOOSE(CONTROL!$C$16, $D$11, 100%, $F$11)</f>
        <v>18.642700000000001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1.2509999999999999</v>
      </c>
      <c r="Q668" s="9">
        <v>19.053000000000001</v>
      </c>
      <c r="R668" s="9"/>
      <c r="S668" s="11"/>
    </row>
    <row r="669" spans="1:19" ht="15.75">
      <c r="A669" s="13">
        <v>61514</v>
      </c>
      <c r="B669" s="8">
        <f>CHOOSE( CONTROL!$C$33, 19.7329, 19.7313) * CHOOSE(CONTROL!$C$16, $D$11, 100%, $F$11)</f>
        <v>19.732900000000001</v>
      </c>
      <c r="C669" s="8">
        <f>CHOOSE( CONTROL!$C$33, 19.7409, 19.7392) * CHOOSE(CONTROL!$C$16, $D$11, 100%, $F$11)</f>
        <v>19.7409</v>
      </c>
      <c r="D669" s="8">
        <f>CHOOSE( CONTROL!$C$33, 19.7592, 19.7575) * CHOOSE( CONTROL!$C$16, $D$11, 100%, $F$11)</f>
        <v>19.7592</v>
      </c>
      <c r="E669" s="12">
        <f>CHOOSE( CONTROL!$C$33, 19.7513, 19.7497) * CHOOSE( CONTROL!$C$16, $D$11, 100%, $F$11)</f>
        <v>19.751300000000001</v>
      </c>
      <c r="F669" s="4">
        <f>CHOOSE( CONTROL!$C$33, 20.4605, 20.4588) * CHOOSE(CONTROL!$C$16, $D$11, 100%, $F$11)</f>
        <v>20.4605</v>
      </c>
      <c r="G669" s="8">
        <f>CHOOSE( CONTROL!$C$33, 19.5305, 19.5289) * CHOOSE( CONTROL!$C$16, $D$11, 100%, $F$11)</f>
        <v>19.5305</v>
      </c>
      <c r="H669" s="4">
        <f>CHOOSE( CONTROL!$C$33, 20.4675, 20.4659) * CHOOSE(CONTROL!$C$16, $D$11, 100%, $F$11)</f>
        <v>20.467500000000001</v>
      </c>
      <c r="I669" s="8">
        <f>CHOOSE( CONTROL!$C$33, 19.2734, 19.2718) * CHOOSE(CONTROL!$C$16, $D$11, 100%, $F$11)</f>
        <v>19.273399999999999</v>
      </c>
      <c r="J669" s="4">
        <f>CHOOSE( CONTROL!$C$33, 19.14, 19.1384) * CHOOSE(CONTROL!$C$16, $D$11, 100%, $F$11)</f>
        <v>19.14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1.2927</v>
      </c>
      <c r="Q669" s="9">
        <v>19.688099999999999</v>
      </c>
      <c r="R669" s="9"/>
      <c r="S669" s="11"/>
    </row>
    <row r="670" spans="1:19" ht="15.75">
      <c r="A670" s="13">
        <v>61544</v>
      </c>
      <c r="B670" s="8">
        <f>CHOOSE( CONTROL!$C$33, 19.4159, 19.4142) * CHOOSE(CONTROL!$C$16, $D$11, 100%, $F$11)</f>
        <v>19.415900000000001</v>
      </c>
      <c r="C670" s="8">
        <f>CHOOSE( CONTROL!$C$33, 19.4238, 19.4222) * CHOOSE(CONTROL!$C$16, $D$11, 100%, $F$11)</f>
        <v>19.4238</v>
      </c>
      <c r="D670" s="8">
        <f>CHOOSE( CONTROL!$C$33, 19.4424, 19.4407) * CHOOSE( CONTROL!$C$16, $D$11, 100%, $F$11)</f>
        <v>19.442399999999999</v>
      </c>
      <c r="E670" s="12">
        <f>CHOOSE( CONTROL!$C$33, 19.4345, 19.4328) * CHOOSE( CONTROL!$C$16, $D$11, 100%, $F$11)</f>
        <v>19.4345</v>
      </c>
      <c r="F670" s="4">
        <f>CHOOSE( CONTROL!$C$33, 20.1434, 20.1418) * CHOOSE(CONTROL!$C$16, $D$11, 100%, $F$11)</f>
        <v>20.1434</v>
      </c>
      <c r="G670" s="8">
        <f>CHOOSE( CONTROL!$C$33, 19.2174, 19.2157) * CHOOSE( CONTROL!$C$16, $D$11, 100%, $F$11)</f>
        <v>19.217400000000001</v>
      </c>
      <c r="H670" s="4">
        <f>CHOOSE( CONTROL!$C$33, 20.1542, 20.1525) * CHOOSE(CONTROL!$C$16, $D$11, 100%, $F$11)</f>
        <v>20.154199999999999</v>
      </c>
      <c r="I670" s="8">
        <f>CHOOSE( CONTROL!$C$33, 18.9664, 18.9648) * CHOOSE(CONTROL!$C$16, $D$11, 100%, $F$11)</f>
        <v>18.9664</v>
      </c>
      <c r="J670" s="4">
        <f>CHOOSE( CONTROL!$C$33, 18.8323, 18.8307) * CHOOSE(CONTROL!$C$16, $D$11, 100%, $F$11)</f>
        <v>18.8323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1.2509999999999999</v>
      </c>
      <c r="Q670" s="9">
        <v>19.053000000000001</v>
      </c>
      <c r="R670" s="9"/>
      <c r="S670" s="11"/>
    </row>
    <row r="671" spans="1:19" ht="15.75">
      <c r="A671" s="13">
        <v>61575</v>
      </c>
      <c r="B671" s="8">
        <f>CHOOSE( CONTROL!$C$33, 20.2508, 20.2491) * CHOOSE(CONTROL!$C$16, $D$11, 100%, $F$11)</f>
        <v>20.250800000000002</v>
      </c>
      <c r="C671" s="8">
        <f>CHOOSE( CONTROL!$C$33, 20.2588, 20.2571) * CHOOSE(CONTROL!$C$16, $D$11, 100%, $F$11)</f>
        <v>20.258800000000001</v>
      </c>
      <c r="D671" s="8">
        <f>CHOOSE( CONTROL!$C$33, 20.2775, 20.2759) * CHOOSE( CONTROL!$C$16, $D$11, 100%, $F$11)</f>
        <v>20.2775</v>
      </c>
      <c r="E671" s="12">
        <f>CHOOSE( CONTROL!$C$33, 20.2695, 20.2679) * CHOOSE( CONTROL!$C$16, $D$11, 100%, $F$11)</f>
        <v>20.269500000000001</v>
      </c>
      <c r="F671" s="4">
        <f>CHOOSE( CONTROL!$C$33, 20.9783, 20.9767) * CHOOSE(CONTROL!$C$16, $D$11, 100%, $F$11)</f>
        <v>20.978300000000001</v>
      </c>
      <c r="G671" s="8">
        <f>CHOOSE( CONTROL!$C$33, 20.0427, 20.0411) * CHOOSE( CONTROL!$C$16, $D$11, 100%, $F$11)</f>
        <v>20.0427</v>
      </c>
      <c r="H671" s="4">
        <f>CHOOSE( CONTROL!$C$33, 20.9793, 20.9777) * CHOOSE(CONTROL!$C$16, $D$11, 100%, $F$11)</f>
        <v>20.979299999999999</v>
      </c>
      <c r="I671" s="8">
        <f>CHOOSE( CONTROL!$C$33, 19.7779, 19.7763) * CHOOSE(CONTROL!$C$16, $D$11, 100%, $F$11)</f>
        <v>19.777899999999999</v>
      </c>
      <c r="J671" s="4">
        <f>CHOOSE( CONTROL!$C$33, 19.6426, 19.641) * CHOOSE(CONTROL!$C$16, $D$11, 100%, $F$11)</f>
        <v>19.642600000000002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1.2927</v>
      </c>
      <c r="Q671" s="9">
        <v>19.688099999999999</v>
      </c>
      <c r="R671" s="9"/>
      <c r="S671" s="11"/>
    </row>
    <row r="672" spans="1:19" ht="15.75">
      <c r="A672" s="13">
        <v>61606</v>
      </c>
      <c r="B672" s="8">
        <f>CHOOSE( CONTROL!$C$33, 18.6886, 18.6869) * CHOOSE(CONTROL!$C$16, $D$11, 100%, $F$11)</f>
        <v>18.688600000000001</v>
      </c>
      <c r="C672" s="8">
        <f>CHOOSE( CONTROL!$C$33, 18.6965, 18.6949) * CHOOSE(CONTROL!$C$16, $D$11, 100%, $F$11)</f>
        <v>18.6965</v>
      </c>
      <c r="D672" s="8">
        <f>CHOOSE( CONTROL!$C$33, 18.7154, 18.7137) * CHOOSE( CONTROL!$C$16, $D$11, 100%, $F$11)</f>
        <v>18.715399999999999</v>
      </c>
      <c r="E672" s="12">
        <f>CHOOSE( CONTROL!$C$33, 18.7073, 18.7057) * CHOOSE( CONTROL!$C$16, $D$11, 100%, $F$11)</f>
        <v>18.7073</v>
      </c>
      <c r="F672" s="4">
        <f>CHOOSE( CONTROL!$C$33, 19.4161, 19.4144) * CHOOSE(CONTROL!$C$16, $D$11, 100%, $F$11)</f>
        <v>19.4161</v>
      </c>
      <c r="G672" s="8">
        <f>CHOOSE( CONTROL!$C$33, 18.4989, 18.4972) * CHOOSE( CONTROL!$C$16, $D$11, 100%, $F$11)</f>
        <v>18.498899999999999</v>
      </c>
      <c r="H672" s="4">
        <f>CHOOSE( CONTROL!$C$33, 19.4354, 19.4337) * CHOOSE(CONTROL!$C$16, $D$11, 100%, $F$11)</f>
        <v>19.435400000000001</v>
      </c>
      <c r="I672" s="8">
        <f>CHOOSE( CONTROL!$C$33, 18.2613, 18.2597) * CHOOSE(CONTROL!$C$16, $D$11, 100%, $F$11)</f>
        <v>18.261299999999999</v>
      </c>
      <c r="J672" s="4">
        <f>CHOOSE( CONTROL!$C$33, 18.1264, 18.1248) * CHOOSE(CONTROL!$C$16, $D$11, 100%, $F$11)</f>
        <v>18.1264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1.2927</v>
      </c>
      <c r="Q672" s="9">
        <v>19.688099999999999</v>
      </c>
      <c r="R672" s="9"/>
      <c r="S672" s="11"/>
    </row>
    <row r="673" spans="1:19" ht="15.75">
      <c r="A673" s="13">
        <v>61636</v>
      </c>
      <c r="B673" s="8">
        <f>CHOOSE( CONTROL!$C$33, 18.2974, 18.2957) * CHOOSE(CONTROL!$C$16, $D$11, 100%, $F$11)</f>
        <v>18.2974</v>
      </c>
      <c r="C673" s="8">
        <f>CHOOSE( CONTROL!$C$33, 18.3053, 18.3037) * CHOOSE(CONTROL!$C$16, $D$11, 100%, $F$11)</f>
        <v>18.305299999999999</v>
      </c>
      <c r="D673" s="8">
        <f>CHOOSE( CONTROL!$C$33, 18.3241, 18.3224) * CHOOSE( CONTROL!$C$16, $D$11, 100%, $F$11)</f>
        <v>18.324100000000001</v>
      </c>
      <c r="E673" s="12">
        <f>CHOOSE( CONTROL!$C$33, 18.3161, 18.3144) * CHOOSE( CONTROL!$C$16, $D$11, 100%, $F$11)</f>
        <v>18.316099999999999</v>
      </c>
      <c r="F673" s="4">
        <f>CHOOSE( CONTROL!$C$33, 19.0249, 19.0232) * CHOOSE(CONTROL!$C$16, $D$11, 100%, $F$11)</f>
        <v>19.024899999999999</v>
      </c>
      <c r="G673" s="8">
        <f>CHOOSE( CONTROL!$C$33, 18.1122, 18.1105) * CHOOSE( CONTROL!$C$16, $D$11, 100%, $F$11)</f>
        <v>18.112200000000001</v>
      </c>
      <c r="H673" s="4">
        <f>CHOOSE( CONTROL!$C$33, 19.0488, 19.0471) * CHOOSE(CONTROL!$C$16, $D$11, 100%, $F$11)</f>
        <v>19.0488</v>
      </c>
      <c r="I673" s="8">
        <f>CHOOSE( CONTROL!$C$33, 17.8811, 17.8795) * CHOOSE(CONTROL!$C$16, $D$11, 100%, $F$11)</f>
        <v>17.8811</v>
      </c>
      <c r="J673" s="4">
        <f>CHOOSE( CONTROL!$C$33, 17.7468, 17.7452) * CHOOSE(CONTROL!$C$16, $D$11, 100%, $F$11)</f>
        <v>17.7468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1.2509999999999999</v>
      </c>
      <c r="Q673" s="9">
        <v>19.053000000000001</v>
      </c>
      <c r="R673" s="9"/>
      <c r="S673" s="11"/>
    </row>
    <row r="674" spans="1:19" ht="15.75">
      <c r="A674" s="13">
        <v>61667</v>
      </c>
      <c r="B674" s="8">
        <f>CHOOSE( CONTROL!$C$33, 19.1073, 19.1062) * CHOOSE(CONTROL!$C$16, $D$11, 100%, $F$11)</f>
        <v>19.107299999999999</v>
      </c>
      <c r="C674" s="8">
        <f>CHOOSE( CONTROL!$C$33, 19.1126, 19.1116) * CHOOSE(CONTROL!$C$16, $D$11, 100%, $F$11)</f>
        <v>19.1126</v>
      </c>
      <c r="D674" s="8">
        <f>CHOOSE( CONTROL!$C$33, 19.1371, 19.136) * CHOOSE( CONTROL!$C$16, $D$11, 100%, $F$11)</f>
        <v>19.1371</v>
      </c>
      <c r="E674" s="12">
        <f>CHOOSE( CONTROL!$C$33, 19.1284, 19.1274) * CHOOSE( CONTROL!$C$16, $D$11, 100%, $F$11)</f>
        <v>19.128399999999999</v>
      </c>
      <c r="F674" s="4">
        <f>CHOOSE( CONTROL!$C$33, 19.8366, 19.8355) * CHOOSE(CONTROL!$C$16, $D$11, 100%, $F$11)</f>
        <v>19.836600000000001</v>
      </c>
      <c r="G674" s="8">
        <f>CHOOSE( CONTROL!$C$33, 18.9145, 18.9134) * CHOOSE( CONTROL!$C$16, $D$11, 100%, $F$11)</f>
        <v>18.9145</v>
      </c>
      <c r="H674" s="4">
        <f>CHOOSE( CONTROL!$C$33, 19.8509, 19.8499) * CHOOSE(CONTROL!$C$16, $D$11, 100%, $F$11)</f>
        <v>19.850899999999999</v>
      </c>
      <c r="I674" s="8">
        <f>CHOOSE( CONTROL!$C$33, 18.6701, 18.6691) * CHOOSE(CONTROL!$C$16, $D$11, 100%, $F$11)</f>
        <v>18.670100000000001</v>
      </c>
      <c r="J674" s="4">
        <f>CHOOSE( CONTROL!$C$33, 18.5345, 18.5335) * CHOOSE(CONTROL!$C$16, $D$11, 100%, $F$11)</f>
        <v>18.534500000000001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1.2927</v>
      </c>
      <c r="Q674" s="9">
        <v>19.688099999999999</v>
      </c>
      <c r="R674" s="9"/>
      <c r="S674" s="11"/>
    </row>
    <row r="675" spans="1:19" ht="15.75">
      <c r="A675" s="13">
        <v>61697</v>
      </c>
      <c r="B675" s="8">
        <f>CHOOSE( CONTROL!$C$33, 20.6062, 20.6051) * CHOOSE(CONTROL!$C$16, $D$11, 100%, $F$11)</f>
        <v>20.606200000000001</v>
      </c>
      <c r="C675" s="8">
        <f>CHOOSE( CONTROL!$C$33, 20.6113, 20.6102) * CHOOSE(CONTROL!$C$16, $D$11, 100%, $F$11)</f>
        <v>20.6113</v>
      </c>
      <c r="D675" s="8">
        <f>CHOOSE( CONTROL!$C$33, 20.6017, 20.6006) * CHOOSE( CONTROL!$C$16, $D$11, 100%, $F$11)</f>
        <v>20.601700000000001</v>
      </c>
      <c r="E675" s="12">
        <f>CHOOSE( CONTROL!$C$33, 20.6047, 20.6036) * CHOOSE( CONTROL!$C$16, $D$11, 100%, $F$11)</f>
        <v>20.604700000000001</v>
      </c>
      <c r="F675" s="4">
        <f>CHOOSE( CONTROL!$C$33, 21.2663, 21.2652) * CHOOSE(CONTROL!$C$16, $D$11, 100%, $F$11)</f>
        <v>21.266300000000001</v>
      </c>
      <c r="G675" s="8">
        <f>CHOOSE( CONTROL!$C$33, 20.3828, 20.3817) * CHOOSE( CONTROL!$C$16, $D$11, 100%, $F$11)</f>
        <v>20.3828</v>
      </c>
      <c r="H675" s="4">
        <f>CHOOSE( CONTROL!$C$33, 21.2639, 21.2628) * CHOOSE(CONTROL!$C$16, $D$11, 100%, $F$11)</f>
        <v>21.2639</v>
      </c>
      <c r="I675" s="8">
        <f>CHOOSE( CONTROL!$C$33, 20.1852, 20.1842) * CHOOSE(CONTROL!$C$16, $D$11, 100%, $F$11)</f>
        <v>20.185199999999998</v>
      </c>
      <c r="J675" s="4">
        <f>CHOOSE( CONTROL!$C$33, 19.9896, 19.9885) * CHOOSE(CONTROL!$C$16, $D$11, 100%, $F$11)</f>
        <v>19.989599999999999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61728</v>
      </c>
      <c r="B676" s="8">
        <f>CHOOSE( CONTROL!$C$33, 20.5687, 20.5676) * CHOOSE(CONTROL!$C$16, $D$11, 100%, $F$11)</f>
        <v>20.5687</v>
      </c>
      <c r="C676" s="8">
        <f>CHOOSE( CONTROL!$C$33, 20.5738, 20.5727) * CHOOSE(CONTROL!$C$16, $D$11, 100%, $F$11)</f>
        <v>20.573799999999999</v>
      </c>
      <c r="D676" s="8">
        <f>CHOOSE( CONTROL!$C$33, 20.5656, 20.5645) * CHOOSE( CONTROL!$C$16, $D$11, 100%, $F$11)</f>
        <v>20.5656</v>
      </c>
      <c r="E676" s="12">
        <f>CHOOSE( CONTROL!$C$33, 20.5681, 20.567) * CHOOSE( CONTROL!$C$16, $D$11, 100%, $F$11)</f>
        <v>20.568100000000001</v>
      </c>
      <c r="F676" s="4">
        <f>CHOOSE( CONTROL!$C$33, 21.2289, 21.2278) * CHOOSE(CONTROL!$C$16, $D$11, 100%, $F$11)</f>
        <v>21.228899999999999</v>
      </c>
      <c r="G676" s="8">
        <f>CHOOSE( CONTROL!$C$33, 20.3468, 20.3457) * CHOOSE( CONTROL!$C$16, $D$11, 100%, $F$11)</f>
        <v>20.346800000000002</v>
      </c>
      <c r="H676" s="4">
        <f>CHOOSE( CONTROL!$C$33, 21.2269, 21.2258) * CHOOSE(CONTROL!$C$16, $D$11, 100%, $F$11)</f>
        <v>21.226900000000001</v>
      </c>
      <c r="I676" s="8">
        <f>CHOOSE( CONTROL!$C$33, 20.1533, 20.1522) * CHOOSE(CONTROL!$C$16, $D$11, 100%, $F$11)</f>
        <v>20.153300000000002</v>
      </c>
      <c r="J676" s="4">
        <f>CHOOSE( CONTROL!$C$33, 19.9532, 19.9521) * CHOOSE(CONTROL!$C$16, $D$11, 100%, $F$11)</f>
        <v>19.953199999999999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61759</v>
      </c>
      <c r="B677" s="8">
        <f>CHOOSE( CONTROL!$C$33, 21.1751, 21.1741) * CHOOSE(CONTROL!$C$16, $D$11, 100%, $F$11)</f>
        <v>21.1751</v>
      </c>
      <c r="C677" s="8">
        <f>CHOOSE( CONTROL!$C$33, 21.1802, 21.1791) * CHOOSE(CONTROL!$C$16, $D$11, 100%, $F$11)</f>
        <v>21.180199999999999</v>
      </c>
      <c r="D677" s="8">
        <f>CHOOSE( CONTROL!$C$33, 21.1829, 21.1818) * CHOOSE( CONTROL!$C$16, $D$11, 100%, $F$11)</f>
        <v>21.1829</v>
      </c>
      <c r="E677" s="12">
        <f>CHOOSE( CONTROL!$C$33, 21.1814, 21.1803) * CHOOSE( CONTROL!$C$16, $D$11, 100%, $F$11)</f>
        <v>21.1814</v>
      </c>
      <c r="F677" s="4">
        <f>CHOOSE( CONTROL!$C$33, 21.8353, 21.8342) * CHOOSE(CONTROL!$C$16, $D$11, 100%, $F$11)</f>
        <v>21.8353</v>
      </c>
      <c r="G677" s="8">
        <f>CHOOSE( CONTROL!$C$33, 20.9489, 20.9479) * CHOOSE( CONTROL!$C$16, $D$11, 100%, $F$11)</f>
        <v>20.948899999999998</v>
      </c>
      <c r="H677" s="4">
        <f>CHOOSE( CONTROL!$C$33, 21.8262, 21.8251) * CHOOSE(CONTROL!$C$16, $D$11, 100%, $F$11)</f>
        <v>21.8262</v>
      </c>
      <c r="I677" s="8">
        <f>CHOOSE( CONTROL!$C$33, 20.7136, 20.7125) * CHOOSE(CONTROL!$C$16, $D$11, 100%, $F$11)</f>
        <v>20.7136</v>
      </c>
      <c r="J677" s="4">
        <f>CHOOSE( CONTROL!$C$33, 20.5417, 20.5407) * CHOOSE(CONTROL!$C$16, $D$11, 100%, $F$11)</f>
        <v>20.541699999999999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61787</v>
      </c>
      <c r="B678" s="8">
        <f>CHOOSE( CONTROL!$C$33, 19.8069, 19.8058) * CHOOSE(CONTROL!$C$16, $D$11, 100%, $F$11)</f>
        <v>19.806899999999999</v>
      </c>
      <c r="C678" s="8">
        <f>CHOOSE( CONTROL!$C$33, 19.8119, 19.8109) * CHOOSE(CONTROL!$C$16, $D$11, 100%, $F$11)</f>
        <v>19.811900000000001</v>
      </c>
      <c r="D678" s="8">
        <f>CHOOSE( CONTROL!$C$33, 19.8145, 19.8134) * CHOOSE( CONTROL!$C$16, $D$11, 100%, $F$11)</f>
        <v>19.814499999999999</v>
      </c>
      <c r="E678" s="12">
        <f>CHOOSE( CONTROL!$C$33, 19.813, 19.8119) * CHOOSE( CONTROL!$C$16, $D$11, 100%, $F$11)</f>
        <v>19.812999999999999</v>
      </c>
      <c r="F678" s="4">
        <f>CHOOSE( CONTROL!$C$33, 20.467, 20.4659) * CHOOSE(CONTROL!$C$16, $D$11, 100%, $F$11)</f>
        <v>20.466999999999999</v>
      </c>
      <c r="G678" s="8">
        <f>CHOOSE( CONTROL!$C$33, 19.5966, 19.5955) * CHOOSE( CONTROL!$C$16, $D$11, 100%, $F$11)</f>
        <v>19.596599999999999</v>
      </c>
      <c r="H678" s="4">
        <f>CHOOSE( CONTROL!$C$33, 20.4739, 20.4729) * CHOOSE(CONTROL!$C$16, $D$11, 100%, $F$11)</f>
        <v>20.4739</v>
      </c>
      <c r="I678" s="8">
        <f>CHOOSE( CONTROL!$C$33, 19.3848, 19.3837) * CHOOSE(CONTROL!$C$16, $D$11, 100%, $F$11)</f>
        <v>19.384799999999998</v>
      </c>
      <c r="J678" s="4">
        <f>CHOOSE( CONTROL!$C$33, 19.2138, 19.2128) * CHOOSE(CONTROL!$C$16, $D$11, 100%, $F$11)</f>
        <v>19.213799999999999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61818</v>
      </c>
      <c r="B679" s="8">
        <f>CHOOSE( CONTROL!$C$33, 19.3854, 19.3843) * CHOOSE(CONTROL!$C$16, $D$11, 100%, $F$11)</f>
        <v>19.385400000000001</v>
      </c>
      <c r="C679" s="8">
        <f>CHOOSE( CONTROL!$C$33, 19.3905, 19.3894) * CHOOSE(CONTROL!$C$16, $D$11, 100%, $F$11)</f>
        <v>19.390499999999999</v>
      </c>
      <c r="D679" s="8">
        <f>CHOOSE( CONTROL!$C$33, 19.3924, 19.3913) * CHOOSE( CONTROL!$C$16, $D$11, 100%, $F$11)</f>
        <v>19.392399999999999</v>
      </c>
      <c r="E679" s="12">
        <f>CHOOSE( CONTROL!$C$33, 19.3912, 19.3901) * CHOOSE( CONTROL!$C$16, $D$11, 100%, $F$11)</f>
        <v>19.391200000000001</v>
      </c>
      <c r="F679" s="4">
        <f>CHOOSE( CONTROL!$C$33, 20.0456, 20.0445) * CHOOSE(CONTROL!$C$16, $D$11, 100%, $F$11)</f>
        <v>20.0456</v>
      </c>
      <c r="G679" s="8">
        <f>CHOOSE( CONTROL!$C$33, 19.1796, 19.1786) * CHOOSE( CONTROL!$C$16, $D$11, 100%, $F$11)</f>
        <v>19.179600000000001</v>
      </c>
      <c r="H679" s="4">
        <f>CHOOSE( CONTROL!$C$33, 20.0575, 20.0564) * CHOOSE(CONTROL!$C$16, $D$11, 100%, $F$11)</f>
        <v>20.057500000000001</v>
      </c>
      <c r="I679" s="8">
        <f>CHOOSE( CONTROL!$C$33, 18.9734, 18.9724) * CHOOSE(CONTROL!$C$16, $D$11, 100%, $F$11)</f>
        <v>18.973400000000002</v>
      </c>
      <c r="J679" s="4">
        <f>CHOOSE( CONTROL!$C$33, 18.8048, 18.8038) * CHOOSE(CONTROL!$C$16, $D$11, 100%, $F$11)</f>
        <v>18.8048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61848</v>
      </c>
      <c r="B680" s="8">
        <f>CHOOSE( CONTROL!$C$33, 19.6807, 19.6796) * CHOOSE(CONTROL!$C$16, $D$11, 100%, $F$11)</f>
        <v>19.680700000000002</v>
      </c>
      <c r="C680" s="8">
        <f>CHOOSE( CONTROL!$C$33, 19.6852, 19.6841) * CHOOSE(CONTROL!$C$16, $D$11, 100%, $F$11)</f>
        <v>19.685199999999998</v>
      </c>
      <c r="D680" s="8">
        <f>CHOOSE( CONTROL!$C$33, 19.7095, 19.7085) * CHOOSE( CONTROL!$C$16, $D$11, 100%, $F$11)</f>
        <v>19.709499999999998</v>
      </c>
      <c r="E680" s="12">
        <f>CHOOSE( CONTROL!$C$33, 19.701, 19.6999) * CHOOSE( CONTROL!$C$16, $D$11, 100%, $F$11)</f>
        <v>19.701000000000001</v>
      </c>
      <c r="F680" s="4">
        <f>CHOOSE( CONTROL!$C$33, 20.4096, 20.4085) * CHOOSE(CONTROL!$C$16, $D$11, 100%, $F$11)</f>
        <v>20.409600000000001</v>
      </c>
      <c r="G680" s="8">
        <f>CHOOSE( CONTROL!$C$33, 19.4804, 19.4793) * CHOOSE( CONTROL!$C$16, $D$11, 100%, $F$11)</f>
        <v>19.480399999999999</v>
      </c>
      <c r="H680" s="4">
        <f>CHOOSE( CONTROL!$C$33, 20.4172, 20.4162) * CHOOSE(CONTROL!$C$16, $D$11, 100%, $F$11)</f>
        <v>20.417200000000001</v>
      </c>
      <c r="I680" s="8">
        <f>CHOOSE( CONTROL!$C$33, 19.2246, 19.2236) * CHOOSE(CONTROL!$C$16, $D$11, 100%, $F$11)</f>
        <v>19.224599999999999</v>
      </c>
      <c r="J680" s="4">
        <f>CHOOSE( CONTROL!$C$33, 19.0906, 19.0896) * CHOOSE(CONTROL!$C$16, $D$11, 100%, $F$11)</f>
        <v>19.090599999999998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1.2509999999999999</v>
      </c>
      <c r="Q680" s="9">
        <v>19.053000000000001</v>
      </c>
      <c r="R680" s="9"/>
      <c r="S680" s="11"/>
    </row>
    <row r="681" spans="1:19" ht="15.75">
      <c r="A681" s="13">
        <v>61879</v>
      </c>
      <c r="B681" s="8">
        <f>CHOOSE( CONTROL!$C$33, 20.2067, 20.2051) * CHOOSE(CONTROL!$C$16, $D$11, 100%, $F$11)</f>
        <v>20.206700000000001</v>
      </c>
      <c r="C681" s="8">
        <f>CHOOSE( CONTROL!$C$33, 20.2147, 20.2131) * CHOOSE(CONTROL!$C$16, $D$11, 100%, $F$11)</f>
        <v>20.214700000000001</v>
      </c>
      <c r="D681" s="8">
        <f>CHOOSE( CONTROL!$C$33, 20.233, 20.2314) * CHOOSE( CONTROL!$C$16, $D$11, 100%, $F$11)</f>
        <v>20.233000000000001</v>
      </c>
      <c r="E681" s="12">
        <f>CHOOSE( CONTROL!$C$33, 20.2251, 20.2235) * CHOOSE( CONTROL!$C$16, $D$11, 100%, $F$11)</f>
        <v>20.225100000000001</v>
      </c>
      <c r="F681" s="4">
        <f>CHOOSE( CONTROL!$C$33, 20.9343, 20.9326) * CHOOSE(CONTROL!$C$16, $D$11, 100%, $F$11)</f>
        <v>20.9343</v>
      </c>
      <c r="G681" s="8">
        <f>CHOOSE( CONTROL!$C$33, 19.9988, 19.9972) * CHOOSE( CONTROL!$C$16, $D$11, 100%, $F$11)</f>
        <v>19.998799999999999</v>
      </c>
      <c r="H681" s="4">
        <f>CHOOSE( CONTROL!$C$33, 20.9358, 20.9341) * CHOOSE(CONTROL!$C$16, $D$11, 100%, $F$11)</f>
        <v>20.9358</v>
      </c>
      <c r="I681" s="8">
        <f>CHOOSE( CONTROL!$C$33, 19.7335, 19.7319) * CHOOSE(CONTROL!$C$16, $D$11, 100%, $F$11)</f>
        <v>19.733499999999999</v>
      </c>
      <c r="J681" s="4">
        <f>CHOOSE( CONTROL!$C$33, 19.5998, 19.5982) * CHOOSE(CONTROL!$C$16, $D$11, 100%, $F$11)</f>
        <v>19.599799999999998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1.2927</v>
      </c>
      <c r="Q681" s="9">
        <v>19.688099999999999</v>
      </c>
      <c r="R681" s="9"/>
      <c r="S681" s="11"/>
    </row>
    <row r="682" spans="1:19" ht="15.75">
      <c r="A682" s="13">
        <v>61909</v>
      </c>
      <c r="B682" s="8">
        <f>CHOOSE( CONTROL!$C$33, 19.8821, 19.8804) * CHOOSE(CONTROL!$C$16, $D$11, 100%, $F$11)</f>
        <v>19.882100000000001</v>
      </c>
      <c r="C682" s="8">
        <f>CHOOSE( CONTROL!$C$33, 19.89, 19.8884) * CHOOSE(CONTROL!$C$16, $D$11, 100%, $F$11)</f>
        <v>19.89</v>
      </c>
      <c r="D682" s="8">
        <f>CHOOSE( CONTROL!$C$33, 19.9086, 19.9069) * CHOOSE( CONTROL!$C$16, $D$11, 100%, $F$11)</f>
        <v>19.9086</v>
      </c>
      <c r="E682" s="12">
        <f>CHOOSE( CONTROL!$C$33, 19.9007, 19.899) * CHOOSE( CONTROL!$C$16, $D$11, 100%, $F$11)</f>
        <v>19.900700000000001</v>
      </c>
      <c r="F682" s="4">
        <f>CHOOSE( CONTROL!$C$33, 20.6096, 20.608) * CHOOSE(CONTROL!$C$16, $D$11, 100%, $F$11)</f>
        <v>20.6096</v>
      </c>
      <c r="G682" s="8">
        <f>CHOOSE( CONTROL!$C$33, 19.6781, 19.6765) * CHOOSE( CONTROL!$C$16, $D$11, 100%, $F$11)</f>
        <v>19.678100000000001</v>
      </c>
      <c r="H682" s="4">
        <f>CHOOSE( CONTROL!$C$33, 20.6149, 20.6133) * CHOOSE(CONTROL!$C$16, $D$11, 100%, $F$11)</f>
        <v>20.614899999999999</v>
      </c>
      <c r="I682" s="8">
        <f>CHOOSE( CONTROL!$C$33, 19.4191, 19.4174) * CHOOSE(CONTROL!$C$16, $D$11, 100%, $F$11)</f>
        <v>19.4191</v>
      </c>
      <c r="J682" s="4">
        <f>CHOOSE( CONTROL!$C$33, 19.2847, 19.2831) * CHOOSE(CONTROL!$C$16, $D$11, 100%, $F$11)</f>
        <v>19.284700000000001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1.2509999999999999</v>
      </c>
      <c r="Q682" s="9">
        <v>19.053000000000001</v>
      </c>
      <c r="R682" s="9"/>
      <c r="S682" s="11"/>
    </row>
    <row r="683" spans="1:19" ht="15.75">
      <c r="A683" s="13">
        <v>61940</v>
      </c>
      <c r="B683" s="8">
        <f>CHOOSE( CONTROL!$C$33, 20.737, 20.7354) * CHOOSE(CONTROL!$C$16, $D$11, 100%, $F$11)</f>
        <v>20.736999999999998</v>
      </c>
      <c r="C683" s="8">
        <f>CHOOSE( CONTROL!$C$33, 20.745, 20.7434) * CHOOSE(CONTROL!$C$16, $D$11, 100%, $F$11)</f>
        <v>20.745000000000001</v>
      </c>
      <c r="D683" s="8">
        <f>CHOOSE( CONTROL!$C$33, 20.7638, 20.7622) * CHOOSE( CONTROL!$C$16, $D$11, 100%, $F$11)</f>
        <v>20.7638</v>
      </c>
      <c r="E683" s="12">
        <f>CHOOSE( CONTROL!$C$33, 20.7558, 20.7542) * CHOOSE( CONTROL!$C$16, $D$11, 100%, $F$11)</f>
        <v>20.755800000000001</v>
      </c>
      <c r="F683" s="4">
        <f>CHOOSE( CONTROL!$C$33, 21.4646, 21.4629) * CHOOSE(CONTROL!$C$16, $D$11, 100%, $F$11)</f>
        <v>21.464600000000001</v>
      </c>
      <c r="G683" s="8">
        <f>CHOOSE( CONTROL!$C$33, 20.5233, 20.5217) * CHOOSE( CONTROL!$C$16, $D$11, 100%, $F$11)</f>
        <v>20.523299999999999</v>
      </c>
      <c r="H683" s="4">
        <f>CHOOSE( CONTROL!$C$33, 21.4599, 21.4582) * CHOOSE(CONTROL!$C$16, $D$11, 100%, $F$11)</f>
        <v>21.459900000000001</v>
      </c>
      <c r="I683" s="8">
        <f>CHOOSE( CONTROL!$C$33, 20.2501, 20.2485) * CHOOSE(CONTROL!$C$16, $D$11, 100%, $F$11)</f>
        <v>20.2501</v>
      </c>
      <c r="J683" s="4">
        <f>CHOOSE( CONTROL!$C$33, 20.1145, 20.1129) * CHOOSE(CONTROL!$C$16, $D$11, 100%, $F$11)</f>
        <v>20.1145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1.2927</v>
      </c>
      <c r="Q683" s="9">
        <v>19.688099999999999</v>
      </c>
      <c r="R683" s="9"/>
      <c r="S683" s="11"/>
    </row>
    <row r="684" spans="1:19" ht="15.75">
      <c r="A684" s="13">
        <v>61971</v>
      </c>
      <c r="B684" s="8">
        <f>CHOOSE( CONTROL!$C$33, 19.1373, 19.1356) * CHOOSE(CONTROL!$C$16, $D$11, 100%, $F$11)</f>
        <v>19.1373</v>
      </c>
      <c r="C684" s="8">
        <f>CHOOSE( CONTROL!$C$33, 19.1453, 19.1436) * CHOOSE(CONTROL!$C$16, $D$11, 100%, $F$11)</f>
        <v>19.145299999999999</v>
      </c>
      <c r="D684" s="8">
        <f>CHOOSE( CONTROL!$C$33, 19.1641, 19.1625) * CHOOSE( CONTROL!$C$16, $D$11, 100%, $F$11)</f>
        <v>19.164100000000001</v>
      </c>
      <c r="E684" s="12">
        <f>CHOOSE( CONTROL!$C$33, 19.1561, 19.1544) * CHOOSE( CONTROL!$C$16, $D$11, 100%, $F$11)</f>
        <v>19.156099999999999</v>
      </c>
      <c r="F684" s="4">
        <f>CHOOSE( CONTROL!$C$33, 19.8648, 19.8632) * CHOOSE(CONTROL!$C$16, $D$11, 100%, $F$11)</f>
        <v>19.864799999999999</v>
      </c>
      <c r="G684" s="8">
        <f>CHOOSE( CONTROL!$C$33, 18.9423, 18.9407) * CHOOSE( CONTROL!$C$16, $D$11, 100%, $F$11)</f>
        <v>18.942299999999999</v>
      </c>
      <c r="H684" s="4">
        <f>CHOOSE( CONTROL!$C$33, 19.8788, 19.8772) * CHOOSE(CONTROL!$C$16, $D$11, 100%, $F$11)</f>
        <v>19.878799999999998</v>
      </c>
      <c r="I684" s="8">
        <f>CHOOSE( CONTROL!$C$33, 18.697, 18.6954) * CHOOSE(CONTROL!$C$16, $D$11, 100%, $F$11)</f>
        <v>18.696999999999999</v>
      </c>
      <c r="J684" s="4">
        <f>CHOOSE( CONTROL!$C$33, 18.5619, 18.5603) * CHOOSE(CONTROL!$C$16, $D$11, 100%, $F$11)</f>
        <v>18.561900000000001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1.2927</v>
      </c>
      <c r="Q684" s="9">
        <v>19.688099999999999</v>
      </c>
      <c r="R684" s="9"/>
      <c r="S684" s="11"/>
    </row>
    <row r="685" spans="1:19" ht="15.75">
      <c r="A685" s="13">
        <v>62001</v>
      </c>
      <c r="B685" s="8">
        <f>CHOOSE( CONTROL!$C$33, 18.7367, 18.735) * CHOOSE(CONTROL!$C$16, $D$11, 100%, $F$11)</f>
        <v>18.736699999999999</v>
      </c>
      <c r="C685" s="8">
        <f>CHOOSE( CONTROL!$C$33, 18.7447, 18.743) * CHOOSE(CONTROL!$C$16, $D$11, 100%, $F$11)</f>
        <v>18.744700000000002</v>
      </c>
      <c r="D685" s="8">
        <f>CHOOSE( CONTROL!$C$33, 18.7634, 18.7618) * CHOOSE( CONTROL!$C$16, $D$11, 100%, $F$11)</f>
        <v>18.763400000000001</v>
      </c>
      <c r="E685" s="12">
        <f>CHOOSE( CONTROL!$C$33, 18.7554, 18.7538) * CHOOSE( CONTROL!$C$16, $D$11, 100%, $F$11)</f>
        <v>18.755400000000002</v>
      </c>
      <c r="F685" s="4">
        <f>CHOOSE( CONTROL!$C$33, 19.4642, 19.4626) * CHOOSE(CONTROL!$C$16, $D$11, 100%, $F$11)</f>
        <v>19.464200000000002</v>
      </c>
      <c r="G685" s="8">
        <f>CHOOSE( CONTROL!$C$33, 18.5463, 18.5447) * CHOOSE( CONTROL!$C$16, $D$11, 100%, $F$11)</f>
        <v>18.546299999999999</v>
      </c>
      <c r="H685" s="4">
        <f>CHOOSE( CONTROL!$C$33, 19.4829, 19.4813) * CHOOSE(CONTROL!$C$16, $D$11, 100%, $F$11)</f>
        <v>19.482900000000001</v>
      </c>
      <c r="I685" s="8">
        <f>CHOOSE( CONTROL!$C$33, 18.3077, 18.306) * CHOOSE(CONTROL!$C$16, $D$11, 100%, $F$11)</f>
        <v>18.307700000000001</v>
      </c>
      <c r="J685" s="4">
        <f>CHOOSE( CONTROL!$C$33, 18.1731, 18.1715) * CHOOSE(CONTROL!$C$16, $D$11, 100%, $F$11)</f>
        <v>18.173100000000002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1.2509999999999999</v>
      </c>
      <c r="Q685" s="9">
        <v>19.053000000000001</v>
      </c>
      <c r="R685" s="9"/>
      <c r="S685" s="11"/>
    </row>
    <row r="686" spans="1:19" ht="15.75">
      <c r="A686" s="13">
        <v>62032</v>
      </c>
      <c r="B686" s="8">
        <f>CHOOSE( CONTROL!$C$33, 19.5662, 19.5651) * CHOOSE(CONTROL!$C$16, $D$11, 100%, $F$11)</f>
        <v>19.566199999999998</v>
      </c>
      <c r="C686" s="8">
        <f>CHOOSE( CONTROL!$C$33, 19.5715, 19.5704) * CHOOSE(CONTROL!$C$16, $D$11, 100%, $F$11)</f>
        <v>19.5715</v>
      </c>
      <c r="D686" s="8">
        <f>CHOOSE( CONTROL!$C$33, 19.5959, 19.5948) * CHOOSE( CONTROL!$C$16, $D$11, 100%, $F$11)</f>
        <v>19.5959</v>
      </c>
      <c r="E686" s="12">
        <f>CHOOSE( CONTROL!$C$33, 19.5873, 19.5862) * CHOOSE( CONTROL!$C$16, $D$11, 100%, $F$11)</f>
        <v>19.587299999999999</v>
      </c>
      <c r="F686" s="4">
        <f>CHOOSE( CONTROL!$C$33, 20.2954, 20.2944) * CHOOSE(CONTROL!$C$16, $D$11, 100%, $F$11)</f>
        <v>20.295400000000001</v>
      </c>
      <c r="G686" s="8">
        <f>CHOOSE( CONTROL!$C$33, 19.368, 19.3669) * CHOOSE( CONTROL!$C$16, $D$11, 100%, $F$11)</f>
        <v>19.367999999999999</v>
      </c>
      <c r="H686" s="4">
        <f>CHOOSE( CONTROL!$C$33, 20.3044, 20.3033) * CHOOSE(CONTROL!$C$16, $D$11, 100%, $F$11)</f>
        <v>20.304400000000001</v>
      </c>
      <c r="I686" s="8">
        <f>CHOOSE( CONTROL!$C$33, 19.1156, 19.1146) * CHOOSE(CONTROL!$C$16, $D$11, 100%, $F$11)</f>
        <v>19.115600000000001</v>
      </c>
      <c r="J686" s="4">
        <f>CHOOSE( CONTROL!$C$33, 18.9798, 18.9788) * CHOOSE(CONTROL!$C$16, $D$11, 100%, $F$11)</f>
        <v>18.979800000000001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1.2927</v>
      </c>
      <c r="Q686" s="9">
        <v>19.688099999999999</v>
      </c>
      <c r="R686" s="9"/>
      <c r="S686" s="11"/>
    </row>
    <row r="687" spans="1:19" ht="15.75">
      <c r="A687" s="13">
        <v>62062</v>
      </c>
      <c r="B687" s="8">
        <f>CHOOSE( CONTROL!$C$33, 21.1011, 21.1) * CHOOSE(CONTROL!$C$16, $D$11, 100%, $F$11)</f>
        <v>21.101099999999999</v>
      </c>
      <c r="C687" s="8">
        <f>CHOOSE( CONTROL!$C$33, 21.1061, 21.1051) * CHOOSE(CONTROL!$C$16, $D$11, 100%, $F$11)</f>
        <v>21.106100000000001</v>
      </c>
      <c r="D687" s="8">
        <f>CHOOSE( CONTROL!$C$33, 21.0965, 21.0954) * CHOOSE( CONTROL!$C$16, $D$11, 100%, $F$11)</f>
        <v>21.096499999999999</v>
      </c>
      <c r="E687" s="12">
        <f>CHOOSE( CONTROL!$C$33, 21.0995, 21.0984) * CHOOSE( CONTROL!$C$16, $D$11, 100%, $F$11)</f>
        <v>21.099499999999999</v>
      </c>
      <c r="F687" s="4">
        <f>CHOOSE( CONTROL!$C$33, 21.7612, 21.7601) * CHOOSE(CONTROL!$C$16, $D$11, 100%, $F$11)</f>
        <v>21.761199999999999</v>
      </c>
      <c r="G687" s="8">
        <f>CHOOSE( CONTROL!$C$33, 20.8719, 20.8708) * CHOOSE( CONTROL!$C$16, $D$11, 100%, $F$11)</f>
        <v>20.8719</v>
      </c>
      <c r="H687" s="4">
        <f>CHOOSE( CONTROL!$C$33, 21.753, 21.7519) * CHOOSE(CONTROL!$C$16, $D$11, 100%, $F$11)</f>
        <v>21.753</v>
      </c>
      <c r="I687" s="8">
        <f>CHOOSE( CONTROL!$C$33, 20.6657, 20.6647) * CHOOSE(CONTROL!$C$16, $D$11, 100%, $F$11)</f>
        <v>20.665700000000001</v>
      </c>
      <c r="J687" s="4">
        <f>CHOOSE( CONTROL!$C$33, 20.4698, 20.4688) * CHOOSE(CONTROL!$C$16, $D$11, 100%, $F$11)</f>
        <v>20.469799999999999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62093</v>
      </c>
      <c r="B688" s="8">
        <f>CHOOSE( CONTROL!$C$33, 21.0627, 21.0616) * CHOOSE(CONTROL!$C$16, $D$11, 100%, $F$11)</f>
        <v>21.0627</v>
      </c>
      <c r="C688" s="8">
        <f>CHOOSE( CONTROL!$C$33, 21.0678, 21.0667) * CHOOSE(CONTROL!$C$16, $D$11, 100%, $F$11)</f>
        <v>21.067799999999998</v>
      </c>
      <c r="D688" s="8">
        <f>CHOOSE( CONTROL!$C$33, 21.0596, 21.0585) * CHOOSE( CONTROL!$C$16, $D$11, 100%, $F$11)</f>
        <v>21.0596</v>
      </c>
      <c r="E688" s="12">
        <f>CHOOSE( CONTROL!$C$33, 21.0621, 21.061) * CHOOSE( CONTROL!$C$16, $D$11, 100%, $F$11)</f>
        <v>21.062100000000001</v>
      </c>
      <c r="F688" s="4">
        <f>CHOOSE( CONTROL!$C$33, 21.7228, 21.7217) * CHOOSE(CONTROL!$C$16, $D$11, 100%, $F$11)</f>
        <v>21.722799999999999</v>
      </c>
      <c r="G688" s="8">
        <f>CHOOSE( CONTROL!$C$33, 20.835, 20.8339) * CHOOSE( CONTROL!$C$16, $D$11, 100%, $F$11)</f>
        <v>20.835000000000001</v>
      </c>
      <c r="H688" s="4">
        <f>CHOOSE( CONTROL!$C$33, 21.7151, 21.714) * CHOOSE(CONTROL!$C$16, $D$11, 100%, $F$11)</f>
        <v>21.7151</v>
      </c>
      <c r="I688" s="8">
        <f>CHOOSE( CONTROL!$C$33, 20.6329, 20.6319) * CHOOSE(CONTROL!$C$16, $D$11, 100%, $F$11)</f>
        <v>20.632899999999999</v>
      </c>
      <c r="J688" s="4">
        <f>CHOOSE( CONTROL!$C$33, 20.4326, 20.4315) * CHOOSE(CONTROL!$C$16, $D$11, 100%, $F$11)</f>
        <v>20.432600000000001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62124</v>
      </c>
      <c r="B689" s="8">
        <f>CHOOSE( CONTROL!$C$33, 21.6837, 21.6826) * CHOOSE(CONTROL!$C$16, $D$11, 100%, $F$11)</f>
        <v>21.683700000000002</v>
      </c>
      <c r="C689" s="8">
        <f>CHOOSE( CONTROL!$C$33, 21.6888, 21.6877) * CHOOSE(CONTROL!$C$16, $D$11, 100%, $F$11)</f>
        <v>21.688800000000001</v>
      </c>
      <c r="D689" s="8">
        <f>CHOOSE( CONTROL!$C$33, 21.6914, 21.6903) * CHOOSE( CONTROL!$C$16, $D$11, 100%, $F$11)</f>
        <v>21.691400000000002</v>
      </c>
      <c r="E689" s="12">
        <f>CHOOSE( CONTROL!$C$33, 21.6899, 21.6888) * CHOOSE( CONTROL!$C$16, $D$11, 100%, $F$11)</f>
        <v>21.689900000000002</v>
      </c>
      <c r="F689" s="4">
        <f>CHOOSE( CONTROL!$C$33, 22.3438, 22.3427) * CHOOSE(CONTROL!$C$16, $D$11, 100%, $F$11)</f>
        <v>22.343800000000002</v>
      </c>
      <c r="G689" s="8">
        <f>CHOOSE( CONTROL!$C$33, 21.4515, 21.4504) * CHOOSE( CONTROL!$C$16, $D$11, 100%, $F$11)</f>
        <v>21.451499999999999</v>
      </c>
      <c r="H689" s="4">
        <f>CHOOSE( CONTROL!$C$33, 22.3288, 22.3277) * CHOOSE(CONTROL!$C$16, $D$11, 100%, $F$11)</f>
        <v>22.328800000000001</v>
      </c>
      <c r="I689" s="8">
        <f>CHOOSE( CONTROL!$C$33, 21.2074, 21.2063) * CHOOSE(CONTROL!$C$16, $D$11, 100%, $F$11)</f>
        <v>21.2074</v>
      </c>
      <c r="J689" s="4">
        <f>CHOOSE( CONTROL!$C$33, 21.0353, 21.0342) * CHOOSE(CONTROL!$C$16, $D$11, 100%, $F$11)</f>
        <v>21.035299999999999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62152</v>
      </c>
      <c r="B690" s="8">
        <f>CHOOSE( CONTROL!$C$33, 20.2825, 20.2814) * CHOOSE(CONTROL!$C$16, $D$11, 100%, $F$11)</f>
        <v>20.282499999999999</v>
      </c>
      <c r="C690" s="8">
        <f>CHOOSE( CONTROL!$C$33, 20.2876, 20.2865) * CHOOSE(CONTROL!$C$16, $D$11, 100%, $F$11)</f>
        <v>20.287600000000001</v>
      </c>
      <c r="D690" s="8">
        <f>CHOOSE( CONTROL!$C$33, 20.2902, 20.2891) * CHOOSE( CONTROL!$C$16, $D$11, 100%, $F$11)</f>
        <v>20.290199999999999</v>
      </c>
      <c r="E690" s="12">
        <f>CHOOSE( CONTROL!$C$33, 20.2887, 20.2876) * CHOOSE( CONTROL!$C$16, $D$11, 100%, $F$11)</f>
        <v>20.288699999999999</v>
      </c>
      <c r="F690" s="4">
        <f>CHOOSE( CONTROL!$C$33, 20.9427, 20.9416) * CHOOSE(CONTROL!$C$16, $D$11, 100%, $F$11)</f>
        <v>20.942699999999999</v>
      </c>
      <c r="G690" s="8">
        <f>CHOOSE( CONTROL!$C$33, 20.0667, 20.0656) * CHOOSE( CONTROL!$C$16, $D$11, 100%, $F$11)</f>
        <v>20.066700000000001</v>
      </c>
      <c r="H690" s="4">
        <f>CHOOSE( CONTROL!$C$33, 20.944, 20.943) * CHOOSE(CONTROL!$C$16, $D$11, 100%, $F$11)</f>
        <v>20.943999999999999</v>
      </c>
      <c r="I690" s="8">
        <f>CHOOSE( CONTROL!$C$33, 19.8466, 19.8456) * CHOOSE(CONTROL!$C$16, $D$11, 100%, $F$11)</f>
        <v>19.846599999999999</v>
      </c>
      <c r="J690" s="4">
        <f>CHOOSE( CONTROL!$C$33, 19.6754, 19.6744) * CHOOSE(CONTROL!$C$16, $D$11, 100%, $F$11)</f>
        <v>19.6754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62183</v>
      </c>
      <c r="B691" s="8">
        <f>CHOOSE( CONTROL!$C$33, 19.851, 19.8499) * CHOOSE(CONTROL!$C$16, $D$11, 100%, $F$11)</f>
        <v>19.850999999999999</v>
      </c>
      <c r="C691" s="8">
        <f>CHOOSE( CONTROL!$C$33, 19.856, 19.855) * CHOOSE(CONTROL!$C$16, $D$11, 100%, $F$11)</f>
        <v>19.856000000000002</v>
      </c>
      <c r="D691" s="8">
        <f>CHOOSE( CONTROL!$C$33, 19.8579, 19.8568) * CHOOSE( CONTROL!$C$16, $D$11, 100%, $F$11)</f>
        <v>19.857900000000001</v>
      </c>
      <c r="E691" s="12">
        <f>CHOOSE( CONTROL!$C$33, 19.8567, 19.8556) * CHOOSE( CONTROL!$C$16, $D$11, 100%, $F$11)</f>
        <v>19.8567</v>
      </c>
      <c r="F691" s="4">
        <f>CHOOSE( CONTROL!$C$33, 20.5111, 20.51) * CHOOSE(CONTROL!$C$16, $D$11, 100%, $F$11)</f>
        <v>20.511099999999999</v>
      </c>
      <c r="G691" s="8">
        <f>CHOOSE( CONTROL!$C$33, 19.6397, 19.6386) * CHOOSE( CONTROL!$C$16, $D$11, 100%, $F$11)</f>
        <v>19.639700000000001</v>
      </c>
      <c r="H691" s="4">
        <f>CHOOSE( CONTROL!$C$33, 20.5175, 20.5165) * CHOOSE(CONTROL!$C$16, $D$11, 100%, $F$11)</f>
        <v>20.517499999999998</v>
      </c>
      <c r="I691" s="8">
        <f>CHOOSE( CONTROL!$C$33, 19.4255, 19.4244) * CHOOSE(CONTROL!$C$16, $D$11, 100%, $F$11)</f>
        <v>19.4255</v>
      </c>
      <c r="J691" s="4">
        <f>CHOOSE( CONTROL!$C$33, 19.2566, 19.2556) * CHOOSE(CONTROL!$C$16, $D$11, 100%, $F$11)</f>
        <v>19.256599999999999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62213</v>
      </c>
      <c r="B692" s="8">
        <f>CHOOSE( CONTROL!$C$33, 20.1533, 20.1522) * CHOOSE(CONTROL!$C$16, $D$11, 100%, $F$11)</f>
        <v>20.153300000000002</v>
      </c>
      <c r="C692" s="8">
        <f>CHOOSE( CONTROL!$C$33, 20.1578, 20.1567) * CHOOSE(CONTROL!$C$16, $D$11, 100%, $F$11)</f>
        <v>20.157800000000002</v>
      </c>
      <c r="D692" s="8">
        <f>CHOOSE( CONTROL!$C$33, 20.1822, 20.1811) * CHOOSE( CONTROL!$C$16, $D$11, 100%, $F$11)</f>
        <v>20.182200000000002</v>
      </c>
      <c r="E692" s="12">
        <f>CHOOSE( CONTROL!$C$33, 20.1736, 20.1725) * CHOOSE( CONTROL!$C$16, $D$11, 100%, $F$11)</f>
        <v>20.1736</v>
      </c>
      <c r="F692" s="4">
        <f>CHOOSE( CONTROL!$C$33, 20.8822, 20.8811) * CHOOSE(CONTROL!$C$16, $D$11, 100%, $F$11)</f>
        <v>20.882200000000001</v>
      </c>
      <c r="G692" s="8">
        <f>CHOOSE( CONTROL!$C$33, 19.9475, 19.9464) * CHOOSE( CONTROL!$C$16, $D$11, 100%, $F$11)</f>
        <v>19.947500000000002</v>
      </c>
      <c r="H692" s="4">
        <f>CHOOSE( CONTROL!$C$33, 20.8843, 20.8832) * CHOOSE(CONTROL!$C$16, $D$11, 100%, $F$11)</f>
        <v>20.8843</v>
      </c>
      <c r="I692" s="8">
        <f>CHOOSE( CONTROL!$C$33, 19.6835, 19.6825) * CHOOSE(CONTROL!$C$16, $D$11, 100%, $F$11)</f>
        <v>19.683499999999999</v>
      </c>
      <c r="J692" s="4">
        <f>CHOOSE( CONTROL!$C$33, 19.5493, 19.5482) * CHOOSE(CONTROL!$C$16, $D$11, 100%, $F$11)</f>
        <v>19.549299999999999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1.2509999999999999</v>
      </c>
      <c r="Q692" s="9">
        <v>19.053000000000001</v>
      </c>
      <c r="R692" s="9"/>
      <c r="S692" s="11"/>
    </row>
    <row r="693" spans="1:19" ht="15.75">
      <c r="A693" s="13">
        <v>62244</v>
      </c>
      <c r="B693" s="8">
        <f>CHOOSE( CONTROL!$C$33, 20.6919, 20.6903) * CHOOSE(CONTROL!$C$16, $D$11, 100%, $F$11)</f>
        <v>20.6919</v>
      </c>
      <c r="C693" s="8">
        <f>CHOOSE( CONTROL!$C$33, 20.6999, 20.6983) * CHOOSE(CONTROL!$C$16, $D$11, 100%, $F$11)</f>
        <v>20.6999</v>
      </c>
      <c r="D693" s="8">
        <f>CHOOSE( CONTROL!$C$33, 20.7182, 20.7166) * CHOOSE( CONTROL!$C$16, $D$11, 100%, $F$11)</f>
        <v>20.7182</v>
      </c>
      <c r="E693" s="12">
        <f>CHOOSE( CONTROL!$C$33, 20.7103, 20.7087) * CHOOSE( CONTROL!$C$16, $D$11, 100%, $F$11)</f>
        <v>20.7103</v>
      </c>
      <c r="F693" s="4">
        <f>CHOOSE( CONTROL!$C$33, 21.4195, 21.4178) * CHOOSE(CONTROL!$C$16, $D$11, 100%, $F$11)</f>
        <v>21.419499999999999</v>
      </c>
      <c r="G693" s="8">
        <f>CHOOSE( CONTROL!$C$33, 20.4783, 20.4767) * CHOOSE( CONTROL!$C$16, $D$11, 100%, $F$11)</f>
        <v>20.478300000000001</v>
      </c>
      <c r="H693" s="4">
        <f>CHOOSE( CONTROL!$C$33, 21.4153, 21.4137) * CHOOSE(CONTROL!$C$16, $D$11, 100%, $F$11)</f>
        <v>21.415299999999998</v>
      </c>
      <c r="I693" s="8">
        <f>CHOOSE( CONTROL!$C$33, 20.2046, 20.203) * CHOOSE(CONTROL!$C$16, $D$11, 100%, $F$11)</f>
        <v>20.204599999999999</v>
      </c>
      <c r="J693" s="4">
        <f>CHOOSE( CONTROL!$C$33, 20.0707, 20.0691) * CHOOSE(CONTROL!$C$16, $D$11, 100%, $F$11)</f>
        <v>20.070699999999999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1.2927</v>
      </c>
      <c r="Q693" s="9">
        <v>19.688099999999999</v>
      </c>
      <c r="R693" s="9"/>
      <c r="S693" s="11"/>
    </row>
    <row r="694" spans="1:19" ht="15.75">
      <c r="A694" s="13">
        <v>62274</v>
      </c>
      <c r="B694" s="8">
        <f>CHOOSE( CONTROL!$C$33, 20.3595, 20.3578) * CHOOSE(CONTROL!$C$16, $D$11, 100%, $F$11)</f>
        <v>20.359500000000001</v>
      </c>
      <c r="C694" s="8">
        <f>CHOOSE( CONTROL!$C$33, 20.3674, 20.3658) * CHOOSE(CONTROL!$C$16, $D$11, 100%, $F$11)</f>
        <v>20.3674</v>
      </c>
      <c r="D694" s="8">
        <f>CHOOSE( CONTROL!$C$33, 20.386, 20.3843) * CHOOSE( CONTROL!$C$16, $D$11, 100%, $F$11)</f>
        <v>20.385999999999999</v>
      </c>
      <c r="E694" s="12">
        <f>CHOOSE( CONTROL!$C$33, 20.3781, 20.3764) * CHOOSE( CONTROL!$C$16, $D$11, 100%, $F$11)</f>
        <v>20.3781</v>
      </c>
      <c r="F694" s="4">
        <f>CHOOSE( CONTROL!$C$33, 21.087, 21.0854) * CHOOSE(CONTROL!$C$16, $D$11, 100%, $F$11)</f>
        <v>21.087</v>
      </c>
      <c r="G694" s="8">
        <f>CHOOSE( CONTROL!$C$33, 20.1499, 20.1483) * CHOOSE( CONTROL!$C$16, $D$11, 100%, $F$11)</f>
        <v>20.149899999999999</v>
      </c>
      <c r="H694" s="4">
        <f>CHOOSE( CONTROL!$C$33, 21.0867, 21.0851) * CHOOSE(CONTROL!$C$16, $D$11, 100%, $F$11)</f>
        <v>21.0867</v>
      </c>
      <c r="I694" s="8">
        <f>CHOOSE( CONTROL!$C$33, 19.8826, 19.881) * CHOOSE(CONTROL!$C$16, $D$11, 100%, $F$11)</f>
        <v>19.8826</v>
      </c>
      <c r="J694" s="4">
        <f>CHOOSE( CONTROL!$C$33, 19.748, 19.7464) * CHOOSE(CONTROL!$C$16, $D$11, 100%, $F$11)</f>
        <v>19.748000000000001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1.2509999999999999</v>
      </c>
      <c r="Q694" s="9">
        <v>19.053000000000001</v>
      </c>
      <c r="R694" s="9"/>
      <c r="S694" s="11"/>
    </row>
    <row r="695" spans="1:19" ht="15.75">
      <c r="A695" s="13">
        <v>62305</v>
      </c>
      <c r="B695" s="8">
        <f>CHOOSE( CONTROL!$C$33, 21.235, 21.2333) * CHOOSE(CONTROL!$C$16, $D$11, 100%, $F$11)</f>
        <v>21.234999999999999</v>
      </c>
      <c r="C695" s="8">
        <f>CHOOSE( CONTROL!$C$33, 21.243, 21.2413) * CHOOSE(CONTROL!$C$16, $D$11, 100%, $F$11)</f>
        <v>21.242999999999999</v>
      </c>
      <c r="D695" s="8">
        <f>CHOOSE( CONTROL!$C$33, 21.2618, 21.2601) * CHOOSE( CONTROL!$C$16, $D$11, 100%, $F$11)</f>
        <v>21.261800000000001</v>
      </c>
      <c r="E695" s="12">
        <f>CHOOSE( CONTROL!$C$33, 21.2538, 21.2521) * CHOOSE( CONTROL!$C$16, $D$11, 100%, $F$11)</f>
        <v>21.253799999999998</v>
      </c>
      <c r="F695" s="4">
        <f>CHOOSE( CONTROL!$C$33, 21.9625, 21.9609) * CHOOSE(CONTROL!$C$16, $D$11, 100%, $F$11)</f>
        <v>21.962499999999999</v>
      </c>
      <c r="G695" s="8">
        <f>CHOOSE( CONTROL!$C$33, 21.0154, 21.0138) * CHOOSE( CONTROL!$C$16, $D$11, 100%, $F$11)</f>
        <v>21.0154</v>
      </c>
      <c r="H695" s="4">
        <f>CHOOSE( CONTROL!$C$33, 21.952, 21.9504) * CHOOSE(CONTROL!$C$16, $D$11, 100%, $F$11)</f>
        <v>21.952000000000002</v>
      </c>
      <c r="I695" s="8">
        <f>CHOOSE( CONTROL!$C$33, 20.7336, 20.732) * CHOOSE(CONTROL!$C$16, $D$11, 100%, $F$11)</f>
        <v>20.733599999999999</v>
      </c>
      <c r="J695" s="4">
        <f>CHOOSE( CONTROL!$C$33, 20.5977, 20.5961) * CHOOSE(CONTROL!$C$16, $D$11, 100%, $F$11)</f>
        <v>20.5977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1.2927</v>
      </c>
      <c r="Q695" s="9">
        <v>19.688099999999999</v>
      </c>
      <c r="R695" s="9"/>
      <c r="S695" s="11"/>
    </row>
    <row r="696" spans="1:19" ht="15.75">
      <c r="A696" s="13">
        <v>62336</v>
      </c>
      <c r="B696" s="8">
        <f>CHOOSE( CONTROL!$C$33, 19.5968, 19.5951) * CHOOSE(CONTROL!$C$16, $D$11, 100%, $F$11)</f>
        <v>19.596800000000002</v>
      </c>
      <c r="C696" s="8">
        <f>CHOOSE( CONTROL!$C$33, 19.6048, 19.6031) * CHOOSE(CONTROL!$C$16, $D$11, 100%, $F$11)</f>
        <v>19.604800000000001</v>
      </c>
      <c r="D696" s="8">
        <f>CHOOSE( CONTROL!$C$33, 19.6236, 19.622) * CHOOSE( CONTROL!$C$16, $D$11, 100%, $F$11)</f>
        <v>19.6236</v>
      </c>
      <c r="E696" s="12">
        <f>CHOOSE( CONTROL!$C$33, 19.6156, 19.6139) * CHOOSE( CONTROL!$C$16, $D$11, 100%, $F$11)</f>
        <v>19.615600000000001</v>
      </c>
      <c r="F696" s="4">
        <f>CHOOSE( CONTROL!$C$33, 20.3243, 20.3227) * CHOOSE(CONTROL!$C$16, $D$11, 100%, $F$11)</f>
        <v>20.324300000000001</v>
      </c>
      <c r="G696" s="8">
        <f>CHOOSE( CONTROL!$C$33, 19.3965, 19.3948) * CHOOSE( CONTROL!$C$16, $D$11, 100%, $F$11)</f>
        <v>19.3965</v>
      </c>
      <c r="H696" s="4">
        <f>CHOOSE( CONTROL!$C$33, 20.333, 20.3313) * CHOOSE(CONTROL!$C$16, $D$11, 100%, $F$11)</f>
        <v>20.332999999999998</v>
      </c>
      <c r="I696" s="8">
        <f>CHOOSE( CONTROL!$C$33, 19.1432, 19.1416) * CHOOSE(CONTROL!$C$16, $D$11, 100%, $F$11)</f>
        <v>19.1432</v>
      </c>
      <c r="J696" s="4">
        <f>CHOOSE( CONTROL!$C$33, 19.0079, 19.0063) * CHOOSE(CONTROL!$C$16, $D$11, 100%, $F$11)</f>
        <v>19.007899999999999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1.2927</v>
      </c>
      <c r="Q696" s="9">
        <v>19.688099999999999</v>
      </c>
      <c r="R696" s="9"/>
      <c r="S696" s="11"/>
    </row>
    <row r="697" spans="1:19" ht="15.75">
      <c r="A697" s="13">
        <v>62366</v>
      </c>
      <c r="B697" s="8">
        <f>CHOOSE( CONTROL!$C$33, 19.1866, 19.1849) * CHOOSE(CONTROL!$C$16, $D$11, 100%, $F$11)</f>
        <v>19.186599999999999</v>
      </c>
      <c r="C697" s="8">
        <f>CHOOSE( CONTROL!$C$33, 19.1945, 19.1929) * CHOOSE(CONTROL!$C$16, $D$11, 100%, $F$11)</f>
        <v>19.194500000000001</v>
      </c>
      <c r="D697" s="8">
        <f>CHOOSE( CONTROL!$C$33, 19.2133, 19.2117) * CHOOSE( CONTROL!$C$16, $D$11, 100%, $F$11)</f>
        <v>19.2133</v>
      </c>
      <c r="E697" s="12">
        <f>CHOOSE( CONTROL!$C$33, 19.2053, 19.2037) * CHOOSE( CONTROL!$C$16, $D$11, 100%, $F$11)</f>
        <v>19.205300000000001</v>
      </c>
      <c r="F697" s="4">
        <f>CHOOSE( CONTROL!$C$33, 19.9141, 19.9125) * CHOOSE(CONTROL!$C$16, $D$11, 100%, $F$11)</f>
        <v>19.914100000000001</v>
      </c>
      <c r="G697" s="8">
        <f>CHOOSE( CONTROL!$C$33, 18.991, 18.9893) * CHOOSE( CONTROL!$C$16, $D$11, 100%, $F$11)</f>
        <v>18.991</v>
      </c>
      <c r="H697" s="4">
        <f>CHOOSE( CONTROL!$C$33, 19.9276, 19.9259) * CHOOSE(CONTROL!$C$16, $D$11, 100%, $F$11)</f>
        <v>19.927600000000002</v>
      </c>
      <c r="I697" s="8">
        <f>CHOOSE( CONTROL!$C$33, 18.7445, 18.7429) * CHOOSE(CONTROL!$C$16, $D$11, 100%, $F$11)</f>
        <v>18.744499999999999</v>
      </c>
      <c r="J697" s="4">
        <f>CHOOSE( CONTROL!$C$33, 18.6097, 18.6081) * CHOOSE(CONTROL!$C$16, $D$11, 100%, $F$11)</f>
        <v>18.6097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1.2509999999999999</v>
      </c>
      <c r="Q697" s="9">
        <v>19.053000000000001</v>
      </c>
      <c r="R697" s="9"/>
      <c r="S697" s="11"/>
    </row>
    <row r="698" spans="1:19" ht="15.75">
      <c r="A698" s="13">
        <v>62397</v>
      </c>
      <c r="B698" s="8">
        <f>CHOOSE( CONTROL!$C$33, 20.036, 20.035) * CHOOSE(CONTROL!$C$16, $D$11, 100%, $F$11)</f>
        <v>20.036000000000001</v>
      </c>
      <c r="C698" s="8">
        <f>CHOOSE( CONTROL!$C$33, 20.0414, 20.0403) * CHOOSE(CONTROL!$C$16, $D$11, 100%, $F$11)</f>
        <v>20.041399999999999</v>
      </c>
      <c r="D698" s="8">
        <f>CHOOSE( CONTROL!$C$33, 20.0658, 20.0647) * CHOOSE( CONTROL!$C$16, $D$11, 100%, $F$11)</f>
        <v>20.065799999999999</v>
      </c>
      <c r="E698" s="12">
        <f>CHOOSE( CONTROL!$C$33, 20.0572, 20.0561) * CHOOSE( CONTROL!$C$16, $D$11, 100%, $F$11)</f>
        <v>20.057200000000002</v>
      </c>
      <c r="F698" s="4">
        <f>CHOOSE( CONTROL!$C$33, 20.7653, 20.7642) * CHOOSE(CONTROL!$C$16, $D$11, 100%, $F$11)</f>
        <v>20.7653</v>
      </c>
      <c r="G698" s="8">
        <f>CHOOSE( CONTROL!$C$33, 19.8324, 19.8313) * CHOOSE( CONTROL!$C$16, $D$11, 100%, $F$11)</f>
        <v>19.8324</v>
      </c>
      <c r="H698" s="4">
        <f>CHOOSE( CONTROL!$C$33, 20.7688, 20.7677) * CHOOSE(CONTROL!$C$16, $D$11, 100%, $F$11)</f>
        <v>20.768799999999999</v>
      </c>
      <c r="I698" s="8">
        <f>CHOOSE( CONTROL!$C$33, 19.5719, 19.5708) * CHOOSE(CONTROL!$C$16, $D$11, 100%, $F$11)</f>
        <v>19.571899999999999</v>
      </c>
      <c r="J698" s="4">
        <f>CHOOSE( CONTROL!$C$33, 19.4358, 19.4348) * CHOOSE(CONTROL!$C$16, $D$11, 100%, $F$11)</f>
        <v>19.4358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1.2927</v>
      </c>
      <c r="Q698" s="9">
        <v>19.688099999999999</v>
      </c>
      <c r="R698" s="9"/>
      <c r="S698" s="11"/>
    </row>
    <row r="699" spans="1:19" ht="15.75">
      <c r="A699" s="13">
        <v>62427</v>
      </c>
      <c r="B699" s="8">
        <f>CHOOSE( CONTROL!$C$33, 21.6078, 21.6067) * CHOOSE(CONTROL!$C$16, $D$11, 100%, $F$11)</f>
        <v>21.607800000000001</v>
      </c>
      <c r="C699" s="8">
        <f>CHOOSE( CONTROL!$C$33, 21.6129, 21.6118) * CHOOSE(CONTROL!$C$16, $D$11, 100%, $F$11)</f>
        <v>21.6129</v>
      </c>
      <c r="D699" s="8">
        <f>CHOOSE( CONTROL!$C$33, 21.6033, 21.6022) * CHOOSE( CONTROL!$C$16, $D$11, 100%, $F$11)</f>
        <v>21.603300000000001</v>
      </c>
      <c r="E699" s="12">
        <f>CHOOSE( CONTROL!$C$33, 21.6063, 21.6052) * CHOOSE( CONTROL!$C$16, $D$11, 100%, $F$11)</f>
        <v>21.606300000000001</v>
      </c>
      <c r="F699" s="4">
        <f>CHOOSE( CONTROL!$C$33, 22.268, 22.2669) * CHOOSE(CONTROL!$C$16, $D$11, 100%, $F$11)</f>
        <v>22.268000000000001</v>
      </c>
      <c r="G699" s="8">
        <f>CHOOSE( CONTROL!$C$33, 21.3727, 21.3716) * CHOOSE( CONTROL!$C$16, $D$11, 100%, $F$11)</f>
        <v>21.372699999999998</v>
      </c>
      <c r="H699" s="4">
        <f>CHOOSE( CONTROL!$C$33, 22.2538, 22.2527) * CHOOSE(CONTROL!$C$16, $D$11, 100%, $F$11)</f>
        <v>22.253799999999998</v>
      </c>
      <c r="I699" s="8">
        <f>CHOOSE( CONTROL!$C$33, 21.1578, 21.1568) * CHOOSE(CONTROL!$C$16, $D$11, 100%, $F$11)</f>
        <v>21.157800000000002</v>
      </c>
      <c r="J699" s="4">
        <f>CHOOSE( CONTROL!$C$33, 20.9616, 20.9606) * CHOOSE(CONTROL!$C$16, $D$11, 100%, $F$11)</f>
        <v>20.961600000000001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62458</v>
      </c>
      <c r="B700" s="8">
        <f>CHOOSE( CONTROL!$C$33, 21.5685, 21.5675) * CHOOSE(CONTROL!$C$16, $D$11, 100%, $F$11)</f>
        <v>21.5685</v>
      </c>
      <c r="C700" s="8">
        <f>CHOOSE( CONTROL!$C$33, 21.5736, 21.5725) * CHOOSE(CONTROL!$C$16, $D$11, 100%, $F$11)</f>
        <v>21.573599999999999</v>
      </c>
      <c r="D700" s="8">
        <f>CHOOSE( CONTROL!$C$33, 21.5654, 21.5644) * CHOOSE( CONTROL!$C$16, $D$11, 100%, $F$11)</f>
        <v>21.5654</v>
      </c>
      <c r="E700" s="12">
        <f>CHOOSE( CONTROL!$C$33, 21.5679, 21.5668) * CHOOSE( CONTROL!$C$16, $D$11, 100%, $F$11)</f>
        <v>21.567900000000002</v>
      </c>
      <c r="F700" s="4">
        <f>CHOOSE( CONTROL!$C$33, 22.2287, 22.2276) * CHOOSE(CONTROL!$C$16, $D$11, 100%, $F$11)</f>
        <v>22.2287</v>
      </c>
      <c r="G700" s="8">
        <f>CHOOSE( CONTROL!$C$33, 21.3349, 21.3338) * CHOOSE( CONTROL!$C$16, $D$11, 100%, $F$11)</f>
        <v>21.334900000000001</v>
      </c>
      <c r="H700" s="4">
        <f>CHOOSE( CONTROL!$C$33, 22.215, 22.2139) * CHOOSE(CONTROL!$C$16, $D$11, 100%, $F$11)</f>
        <v>22.215</v>
      </c>
      <c r="I700" s="8">
        <f>CHOOSE( CONTROL!$C$33, 21.1241, 21.123) * CHOOSE(CONTROL!$C$16, $D$11, 100%, $F$11)</f>
        <v>21.124099999999999</v>
      </c>
      <c r="J700" s="4">
        <f>CHOOSE( CONTROL!$C$33, 20.9235, 20.9225) * CHOOSE(CONTROL!$C$16, $D$11, 100%, $F$11)</f>
        <v>20.923500000000001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62489</v>
      </c>
      <c r="B701" s="8">
        <f>CHOOSE( CONTROL!$C$33, 22.2044, 22.2034) * CHOOSE(CONTROL!$C$16, $D$11, 100%, $F$11)</f>
        <v>22.2044</v>
      </c>
      <c r="C701" s="8">
        <f>CHOOSE( CONTROL!$C$33, 22.2095, 22.2084) * CHOOSE(CONTROL!$C$16, $D$11, 100%, $F$11)</f>
        <v>22.209499999999998</v>
      </c>
      <c r="D701" s="8">
        <f>CHOOSE( CONTROL!$C$33, 22.2122, 22.2111) * CHOOSE( CONTROL!$C$16, $D$11, 100%, $F$11)</f>
        <v>22.212199999999999</v>
      </c>
      <c r="E701" s="12">
        <f>CHOOSE( CONTROL!$C$33, 22.2107, 22.2096) * CHOOSE( CONTROL!$C$16, $D$11, 100%, $F$11)</f>
        <v>22.210699999999999</v>
      </c>
      <c r="F701" s="4">
        <f>CHOOSE( CONTROL!$C$33, 22.8646, 22.8635) * CHOOSE(CONTROL!$C$16, $D$11, 100%, $F$11)</f>
        <v>22.864599999999999</v>
      </c>
      <c r="G701" s="8">
        <f>CHOOSE( CONTROL!$C$33, 21.9662, 21.9651) * CHOOSE( CONTROL!$C$16, $D$11, 100%, $F$11)</f>
        <v>21.966200000000001</v>
      </c>
      <c r="H701" s="4">
        <f>CHOOSE( CONTROL!$C$33, 22.8435, 22.8424) * CHOOSE(CONTROL!$C$16, $D$11, 100%, $F$11)</f>
        <v>22.843499999999999</v>
      </c>
      <c r="I701" s="8">
        <f>CHOOSE( CONTROL!$C$33, 21.713, 21.712) * CHOOSE(CONTROL!$C$16, $D$11, 100%, $F$11)</f>
        <v>21.713000000000001</v>
      </c>
      <c r="J701" s="4">
        <f>CHOOSE( CONTROL!$C$33, 21.5407, 21.5396) * CHOOSE(CONTROL!$C$16, $D$11, 100%, $F$11)</f>
        <v>21.540700000000001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62517</v>
      </c>
      <c r="B702" s="8">
        <f>CHOOSE( CONTROL!$C$33, 20.7696, 20.7685) * CHOOSE(CONTROL!$C$16, $D$11, 100%, $F$11)</f>
        <v>20.769600000000001</v>
      </c>
      <c r="C702" s="8">
        <f>CHOOSE( CONTROL!$C$33, 20.7747, 20.7736) * CHOOSE(CONTROL!$C$16, $D$11, 100%, $F$11)</f>
        <v>20.774699999999999</v>
      </c>
      <c r="D702" s="8">
        <f>CHOOSE( CONTROL!$C$33, 20.7773, 20.7762) * CHOOSE( CONTROL!$C$16, $D$11, 100%, $F$11)</f>
        <v>20.7773</v>
      </c>
      <c r="E702" s="12">
        <f>CHOOSE( CONTROL!$C$33, 20.7758, 20.7747) * CHOOSE( CONTROL!$C$16, $D$11, 100%, $F$11)</f>
        <v>20.7758</v>
      </c>
      <c r="F702" s="4">
        <f>CHOOSE( CONTROL!$C$33, 21.4297, 21.4287) * CHOOSE(CONTROL!$C$16, $D$11, 100%, $F$11)</f>
        <v>21.4297</v>
      </c>
      <c r="G702" s="8">
        <f>CHOOSE( CONTROL!$C$33, 20.5481, 20.547) * CHOOSE( CONTROL!$C$16, $D$11, 100%, $F$11)</f>
        <v>20.548100000000002</v>
      </c>
      <c r="H702" s="4">
        <f>CHOOSE( CONTROL!$C$33, 21.4254, 21.4244) * CHOOSE(CONTROL!$C$16, $D$11, 100%, $F$11)</f>
        <v>21.4254</v>
      </c>
      <c r="I702" s="8">
        <f>CHOOSE( CONTROL!$C$33, 20.3196, 20.3185) * CHOOSE(CONTROL!$C$16, $D$11, 100%, $F$11)</f>
        <v>20.319600000000001</v>
      </c>
      <c r="J702" s="4">
        <f>CHOOSE( CONTROL!$C$33, 20.1482, 20.1471) * CHOOSE(CONTROL!$C$16, $D$11, 100%, $F$11)</f>
        <v>20.148199999999999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62548</v>
      </c>
      <c r="B703" s="8">
        <f>CHOOSE( CONTROL!$C$33, 20.3277, 20.3266) * CHOOSE(CONTROL!$C$16, $D$11, 100%, $F$11)</f>
        <v>20.3277</v>
      </c>
      <c r="C703" s="8">
        <f>CHOOSE( CONTROL!$C$33, 20.3328, 20.3317) * CHOOSE(CONTROL!$C$16, $D$11, 100%, $F$11)</f>
        <v>20.332799999999999</v>
      </c>
      <c r="D703" s="8">
        <f>CHOOSE( CONTROL!$C$33, 20.3346, 20.3336) * CHOOSE( CONTROL!$C$16, $D$11, 100%, $F$11)</f>
        <v>20.334599999999998</v>
      </c>
      <c r="E703" s="12">
        <f>CHOOSE( CONTROL!$C$33, 20.3334, 20.3324) * CHOOSE( CONTROL!$C$16, $D$11, 100%, $F$11)</f>
        <v>20.333400000000001</v>
      </c>
      <c r="F703" s="4">
        <f>CHOOSE( CONTROL!$C$33, 20.9878, 20.9867) * CHOOSE(CONTROL!$C$16, $D$11, 100%, $F$11)</f>
        <v>20.9878</v>
      </c>
      <c r="G703" s="8">
        <f>CHOOSE( CONTROL!$C$33, 20.1109, 20.1098) * CHOOSE( CONTROL!$C$16, $D$11, 100%, $F$11)</f>
        <v>20.110900000000001</v>
      </c>
      <c r="H703" s="4">
        <f>CHOOSE( CONTROL!$C$33, 20.9887, 20.9876) * CHOOSE(CONTROL!$C$16, $D$11, 100%, $F$11)</f>
        <v>20.988700000000001</v>
      </c>
      <c r="I703" s="8">
        <f>CHOOSE( CONTROL!$C$33, 19.8883, 19.8873) * CHOOSE(CONTROL!$C$16, $D$11, 100%, $F$11)</f>
        <v>19.888300000000001</v>
      </c>
      <c r="J703" s="4">
        <f>CHOOSE( CONTROL!$C$33, 19.7193, 19.7182) * CHOOSE(CONTROL!$C$16, $D$11, 100%, $F$11)</f>
        <v>19.7193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62578</v>
      </c>
      <c r="B704" s="8">
        <f>CHOOSE( CONTROL!$C$33, 20.6373, 20.6362) * CHOOSE(CONTROL!$C$16, $D$11, 100%, $F$11)</f>
        <v>20.6373</v>
      </c>
      <c r="C704" s="8">
        <f>CHOOSE( CONTROL!$C$33, 20.6418, 20.6407) * CHOOSE(CONTROL!$C$16, $D$11, 100%, $F$11)</f>
        <v>20.6418</v>
      </c>
      <c r="D704" s="8">
        <f>CHOOSE( CONTROL!$C$33, 20.6661, 20.665) * CHOOSE( CONTROL!$C$16, $D$11, 100%, $F$11)</f>
        <v>20.6661</v>
      </c>
      <c r="E704" s="12">
        <f>CHOOSE( CONTROL!$C$33, 20.6576, 20.6565) * CHOOSE( CONTROL!$C$16, $D$11, 100%, $F$11)</f>
        <v>20.657599999999999</v>
      </c>
      <c r="F704" s="4">
        <f>CHOOSE( CONTROL!$C$33, 21.3662, 21.3651) * CHOOSE(CONTROL!$C$16, $D$11, 100%, $F$11)</f>
        <v>21.366199999999999</v>
      </c>
      <c r="G704" s="8">
        <f>CHOOSE( CONTROL!$C$33, 20.4258, 20.4247) * CHOOSE( CONTROL!$C$16, $D$11, 100%, $F$11)</f>
        <v>20.425799999999999</v>
      </c>
      <c r="H704" s="4">
        <f>CHOOSE( CONTROL!$C$33, 21.3626, 21.3615) * CHOOSE(CONTROL!$C$16, $D$11, 100%, $F$11)</f>
        <v>21.3626</v>
      </c>
      <c r="I704" s="8">
        <f>CHOOSE( CONTROL!$C$33, 20.1534, 20.1524) * CHOOSE(CONTROL!$C$16, $D$11, 100%, $F$11)</f>
        <v>20.153400000000001</v>
      </c>
      <c r="J704" s="4">
        <f>CHOOSE( CONTROL!$C$33, 20.019, 20.0179) * CHOOSE(CONTROL!$C$16, $D$11, 100%, $F$11)</f>
        <v>20.018999999999998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1.2509999999999999</v>
      </c>
      <c r="Q704" s="9">
        <v>19.053000000000001</v>
      </c>
      <c r="R704" s="9"/>
      <c r="S704" s="11"/>
    </row>
    <row r="705" spans="1:19" ht="15.75">
      <c r="A705" s="13">
        <v>62609</v>
      </c>
      <c r="B705" s="8">
        <f>CHOOSE( CONTROL!$C$33, 21.1888, 21.1872) * CHOOSE(CONTROL!$C$16, $D$11, 100%, $F$11)</f>
        <v>21.188800000000001</v>
      </c>
      <c r="C705" s="8">
        <f>CHOOSE( CONTROL!$C$33, 21.1968, 21.1951) * CHOOSE(CONTROL!$C$16, $D$11, 100%, $F$11)</f>
        <v>21.1968</v>
      </c>
      <c r="D705" s="8">
        <f>CHOOSE( CONTROL!$C$33, 21.2151, 21.2134) * CHOOSE( CONTROL!$C$16, $D$11, 100%, $F$11)</f>
        <v>21.2151</v>
      </c>
      <c r="E705" s="12">
        <f>CHOOSE( CONTROL!$C$33, 21.2072, 21.2056) * CHOOSE( CONTROL!$C$16, $D$11, 100%, $F$11)</f>
        <v>21.2072</v>
      </c>
      <c r="F705" s="4">
        <f>CHOOSE( CONTROL!$C$33, 21.9164, 21.9147) * CHOOSE(CONTROL!$C$16, $D$11, 100%, $F$11)</f>
        <v>21.916399999999999</v>
      </c>
      <c r="G705" s="8">
        <f>CHOOSE( CONTROL!$C$33, 20.9694, 20.9677) * CHOOSE( CONTROL!$C$16, $D$11, 100%, $F$11)</f>
        <v>20.9694</v>
      </c>
      <c r="H705" s="4">
        <f>CHOOSE( CONTROL!$C$33, 21.9063, 21.9047) * CHOOSE(CONTROL!$C$16, $D$11, 100%, $F$11)</f>
        <v>21.906300000000002</v>
      </c>
      <c r="I705" s="8">
        <f>CHOOSE( CONTROL!$C$33, 20.6871, 20.6854) * CHOOSE(CONTROL!$C$16, $D$11, 100%, $F$11)</f>
        <v>20.687100000000001</v>
      </c>
      <c r="J705" s="4">
        <f>CHOOSE( CONTROL!$C$33, 20.5529, 20.5513) * CHOOSE(CONTROL!$C$16, $D$11, 100%, $F$11)</f>
        <v>20.552900000000001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1.2927</v>
      </c>
      <c r="Q705" s="9">
        <v>19.688099999999999</v>
      </c>
      <c r="R705" s="9"/>
      <c r="S705" s="11"/>
    </row>
    <row r="706" spans="1:19" ht="15.75">
      <c r="A706" s="13">
        <v>62639</v>
      </c>
      <c r="B706" s="8">
        <f>CHOOSE( CONTROL!$C$33, 20.8484, 20.8467) * CHOOSE(CONTROL!$C$16, $D$11, 100%, $F$11)</f>
        <v>20.848400000000002</v>
      </c>
      <c r="C706" s="8">
        <f>CHOOSE( CONTROL!$C$33, 20.8563, 20.8547) * CHOOSE(CONTROL!$C$16, $D$11, 100%, $F$11)</f>
        <v>20.856300000000001</v>
      </c>
      <c r="D706" s="8">
        <f>CHOOSE( CONTROL!$C$33, 20.8749, 20.8732) * CHOOSE( CONTROL!$C$16, $D$11, 100%, $F$11)</f>
        <v>20.8749</v>
      </c>
      <c r="E706" s="12">
        <f>CHOOSE( CONTROL!$C$33, 20.867, 20.8653) * CHOOSE( CONTROL!$C$16, $D$11, 100%, $F$11)</f>
        <v>20.867000000000001</v>
      </c>
      <c r="F706" s="4">
        <f>CHOOSE( CONTROL!$C$33, 21.5759, 21.5742) * CHOOSE(CONTROL!$C$16, $D$11, 100%, $F$11)</f>
        <v>21.575900000000001</v>
      </c>
      <c r="G706" s="8">
        <f>CHOOSE( CONTROL!$C$33, 20.6331, 20.6315) * CHOOSE( CONTROL!$C$16, $D$11, 100%, $F$11)</f>
        <v>20.633099999999999</v>
      </c>
      <c r="H706" s="4">
        <f>CHOOSE( CONTROL!$C$33, 21.5699, 21.5682) * CHOOSE(CONTROL!$C$16, $D$11, 100%, $F$11)</f>
        <v>21.569900000000001</v>
      </c>
      <c r="I706" s="8">
        <f>CHOOSE( CONTROL!$C$33, 20.3573, 20.3557) * CHOOSE(CONTROL!$C$16, $D$11, 100%, $F$11)</f>
        <v>20.357299999999999</v>
      </c>
      <c r="J706" s="4">
        <f>CHOOSE( CONTROL!$C$33, 20.2225, 20.2209) * CHOOSE(CONTROL!$C$16, $D$11, 100%, $F$11)</f>
        <v>20.2225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1.2509999999999999</v>
      </c>
      <c r="Q706" s="9">
        <v>19.053000000000001</v>
      </c>
      <c r="R706" s="9"/>
      <c r="S706" s="11"/>
    </row>
    <row r="707" spans="1:19" ht="15.75">
      <c r="A707" s="13">
        <v>62670</v>
      </c>
      <c r="B707" s="8">
        <f>CHOOSE( CONTROL!$C$33, 21.7449, 21.7433) * CHOOSE(CONTROL!$C$16, $D$11, 100%, $F$11)</f>
        <v>21.744900000000001</v>
      </c>
      <c r="C707" s="8">
        <f>CHOOSE( CONTROL!$C$33, 21.7529, 21.7512) * CHOOSE(CONTROL!$C$16, $D$11, 100%, $F$11)</f>
        <v>21.7529</v>
      </c>
      <c r="D707" s="8">
        <f>CHOOSE( CONTROL!$C$33, 21.7717, 21.77) * CHOOSE( CONTROL!$C$16, $D$11, 100%, $F$11)</f>
        <v>21.771699999999999</v>
      </c>
      <c r="E707" s="12">
        <f>CHOOSE( CONTROL!$C$33, 21.7637, 21.762) * CHOOSE( CONTROL!$C$16, $D$11, 100%, $F$11)</f>
        <v>21.7637</v>
      </c>
      <c r="F707" s="4">
        <f>CHOOSE( CONTROL!$C$33, 22.4725, 22.4708) * CHOOSE(CONTROL!$C$16, $D$11, 100%, $F$11)</f>
        <v>22.4725</v>
      </c>
      <c r="G707" s="8">
        <f>CHOOSE( CONTROL!$C$33, 21.5194, 21.5177) * CHOOSE( CONTROL!$C$16, $D$11, 100%, $F$11)</f>
        <v>21.519400000000001</v>
      </c>
      <c r="H707" s="4">
        <f>CHOOSE( CONTROL!$C$33, 22.4559, 22.4543) * CHOOSE(CONTROL!$C$16, $D$11, 100%, $F$11)</f>
        <v>22.4559</v>
      </c>
      <c r="I707" s="8">
        <f>CHOOSE( CONTROL!$C$33, 21.2287, 21.2271) * CHOOSE(CONTROL!$C$16, $D$11, 100%, $F$11)</f>
        <v>21.2287</v>
      </c>
      <c r="J707" s="4">
        <f>CHOOSE( CONTROL!$C$33, 21.0926, 21.091) * CHOOSE(CONTROL!$C$16, $D$11, 100%, $F$11)</f>
        <v>21.092600000000001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1.2927</v>
      </c>
      <c r="Q707" s="9">
        <v>19.688099999999999</v>
      </c>
      <c r="R707" s="9"/>
      <c r="S707" s="11"/>
    </row>
    <row r="708" spans="1:19" ht="15.75">
      <c r="A708" s="13">
        <v>62701</v>
      </c>
      <c r="B708" s="8">
        <f>CHOOSE( CONTROL!$C$33, 20.0674, 20.0657) * CHOOSE(CONTROL!$C$16, $D$11, 100%, $F$11)</f>
        <v>20.067399999999999</v>
      </c>
      <c r="C708" s="8">
        <f>CHOOSE( CONTROL!$C$33, 20.0753, 20.0737) * CHOOSE(CONTROL!$C$16, $D$11, 100%, $F$11)</f>
        <v>20.075299999999999</v>
      </c>
      <c r="D708" s="8">
        <f>CHOOSE( CONTROL!$C$33, 20.0942, 20.0925) * CHOOSE( CONTROL!$C$16, $D$11, 100%, $F$11)</f>
        <v>20.094200000000001</v>
      </c>
      <c r="E708" s="12">
        <f>CHOOSE( CONTROL!$C$33, 20.0861, 20.0845) * CHOOSE( CONTROL!$C$16, $D$11, 100%, $F$11)</f>
        <v>20.086099999999998</v>
      </c>
      <c r="F708" s="4">
        <f>CHOOSE( CONTROL!$C$33, 20.7949, 20.7932) * CHOOSE(CONTROL!$C$16, $D$11, 100%, $F$11)</f>
        <v>20.794899999999998</v>
      </c>
      <c r="G708" s="8">
        <f>CHOOSE( CONTROL!$C$33, 19.8615, 19.8599) * CHOOSE( CONTROL!$C$16, $D$11, 100%, $F$11)</f>
        <v>19.861499999999999</v>
      </c>
      <c r="H708" s="4">
        <f>CHOOSE( CONTROL!$C$33, 20.798, 20.7964) * CHOOSE(CONTROL!$C$16, $D$11, 100%, $F$11)</f>
        <v>20.797999999999998</v>
      </c>
      <c r="I708" s="8">
        <f>CHOOSE( CONTROL!$C$33, 19.6001, 19.5985) * CHOOSE(CONTROL!$C$16, $D$11, 100%, $F$11)</f>
        <v>19.600100000000001</v>
      </c>
      <c r="J708" s="4">
        <f>CHOOSE( CONTROL!$C$33, 19.4645, 19.4629) * CHOOSE(CONTROL!$C$16, $D$11, 100%, $F$11)</f>
        <v>19.464500000000001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1.2927</v>
      </c>
      <c r="Q708" s="9">
        <v>19.688099999999999</v>
      </c>
      <c r="R708" s="9"/>
      <c r="S708" s="11"/>
    </row>
    <row r="709" spans="1:19" ht="15.75">
      <c r="A709" s="13">
        <v>62731</v>
      </c>
      <c r="B709" s="8">
        <f>CHOOSE( CONTROL!$C$33, 19.6473, 19.6456) * CHOOSE(CONTROL!$C$16, $D$11, 100%, $F$11)</f>
        <v>19.647300000000001</v>
      </c>
      <c r="C709" s="8">
        <f>CHOOSE( CONTROL!$C$33, 19.6552, 19.6536) * CHOOSE(CONTROL!$C$16, $D$11, 100%, $F$11)</f>
        <v>19.655200000000001</v>
      </c>
      <c r="D709" s="8">
        <f>CHOOSE( CONTROL!$C$33, 19.674, 19.6723) * CHOOSE( CONTROL!$C$16, $D$11, 100%, $F$11)</f>
        <v>19.673999999999999</v>
      </c>
      <c r="E709" s="12">
        <f>CHOOSE( CONTROL!$C$33, 19.666, 19.6643) * CHOOSE( CONTROL!$C$16, $D$11, 100%, $F$11)</f>
        <v>19.666</v>
      </c>
      <c r="F709" s="4">
        <f>CHOOSE( CONTROL!$C$33, 20.3748, 20.3732) * CHOOSE(CONTROL!$C$16, $D$11, 100%, $F$11)</f>
        <v>20.3748</v>
      </c>
      <c r="G709" s="8">
        <f>CHOOSE( CONTROL!$C$33, 19.4463, 19.4446) * CHOOSE( CONTROL!$C$16, $D$11, 100%, $F$11)</f>
        <v>19.446300000000001</v>
      </c>
      <c r="H709" s="4">
        <f>CHOOSE( CONTROL!$C$33, 20.3829, 20.3812) * CHOOSE(CONTROL!$C$16, $D$11, 100%, $F$11)</f>
        <v>20.382899999999999</v>
      </c>
      <c r="I709" s="8">
        <f>CHOOSE( CONTROL!$C$33, 19.1918, 19.1902) * CHOOSE(CONTROL!$C$16, $D$11, 100%, $F$11)</f>
        <v>19.191800000000001</v>
      </c>
      <c r="J709" s="4">
        <f>CHOOSE( CONTROL!$C$33, 19.0569, 19.0552) * CHOOSE(CONTROL!$C$16, $D$11, 100%, $F$11)</f>
        <v>19.056899999999999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1.2509999999999999</v>
      </c>
      <c r="Q709" s="9">
        <v>19.053000000000001</v>
      </c>
      <c r="R709" s="9"/>
      <c r="S709" s="11"/>
    </row>
    <row r="710" spans="1:19" ht="15.75">
      <c r="A710" s="13">
        <v>62762</v>
      </c>
      <c r="B710" s="8">
        <f>CHOOSE( CONTROL!$C$33, 20.5172, 20.5161) * CHOOSE(CONTROL!$C$16, $D$11, 100%, $F$11)</f>
        <v>20.517199999999999</v>
      </c>
      <c r="C710" s="8">
        <f>CHOOSE( CONTROL!$C$33, 20.5225, 20.5214) * CHOOSE(CONTROL!$C$16, $D$11, 100%, $F$11)</f>
        <v>20.522500000000001</v>
      </c>
      <c r="D710" s="8">
        <f>CHOOSE( CONTROL!$C$33, 20.5469, 20.5459) * CHOOSE( CONTROL!$C$16, $D$11, 100%, $F$11)</f>
        <v>20.546900000000001</v>
      </c>
      <c r="E710" s="12">
        <f>CHOOSE( CONTROL!$C$33, 20.5383, 20.5372) * CHOOSE( CONTROL!$C$16, $D$11, 100%, $F$11)</f>
        <v>20.5383</v>
      </c>
      <c r="F710" s="4">
        <f>CHOOSE( CONTROL!$C$33, 21.2465, 21.2454) * CHOOSE(CONTROL!$C$16, $D$11, 100%, $F$11)</f>
        <v>21.246500000000001</v>
      </c>
      <c r="G710" s="8">
        <f>CHOOSE( CONTROL!$C$33, 20.3079, 20.3068) * CHOOSE( CONTROL!$C$16, $D$11, 100%, $F$11)</f>
        <v>20.3079</v>
      </c>
      <c r="H710" s="4">
        <f>CHOOSE( CONTROL!$C$33, 21.2443, 21.2432) * CHOOSE(CONTROL!$C$16, $D$11, 100%, $F$11)</f>
        <v>21.244299999999999</v>
      </c>
      <c r="I710" s="8">
        <f>CHOOSE( CONTROL!$C$33, 20.0391, 20.038) * CHOOSE(CONTROL!$C$16, $D$11, 100%, $F$11)</f>
        <v>20.039100000000001</v>
      </c>
      <c r="J710" s="4">
        <f>CHOOSE( CONTROL!$C$33, 19.9028, 19.9017) * CHOOSE(CONTROL!$C$16, $D$11, 100%, $F$11)</f>
        <v>19.902799999999999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1.2927</v>
      </c>
      <c r="Q710" s="9">
        <v>19.688099999999999</v>
      </c>
      <c r="R710" s="9"/>
      <c r="S710" s="11"/>
    </row>
    <row r="711" spans="1:19" ht="15.75">
      <c r="A711" s="13">
        <v>62792</v>
      </c>
      <c r="B711" s="8">
        <f>CHOOSE( CONTROL!$C$33, 22.1268, 22.1257) * CHOOSE(CONTROL!$C$16, $D$11, 100%, $F$11)</f>
        <v>22.126799999999999</v>
      </c>
      <c r="C711" s="8">
        <f>CHOOSE( CONTROL!$C$33, 22.1318, 22.1308) * CHOOSE(CONTROL!$C$16, $D$11, 100%, $F$11)</f>
        <v>22.131799999999998</v>
      </c>
      <c r="D711" s="8">
        <f>CHOOSE( CONTROL!$C$33, 22.1222, 22.1211) * CHOOSE( CONTROL!$C$16, $D$11, 100%, $F$11)</f>
        <v>22.122199999999999</v>
      </c>
      <c r="E711" s="12">
        <f>CHOOSE( CONTROL!$C$33, 22.1252, 22.1241) * CHOOSE( CONTROL!$C$16, $D$11, 100%, $F$11)</f>
        <v>22.1252</v>
      </c>
      <c r="F711" s="4">
        <f>CHOOSE( CONTROL!$C$33, 22.7869, 22.7858) * CHOOSE(CONTROL!$C$16, $D$11, 100%, $F$11)</f>
        <v>22.786899999999999</v>
      </c>
      <c r="G711" s="8">
        <f>CHOOSE( CONTROL!$C$33, 21.8855, 21.8845) * CHOOSE( CONTROL!$C$16, $D$11, 100%, $F$11)</f>
        <v>21.8855</v>
      </c>
      <c r="H711" s="4">
        <f>CHOOSE( CONTROL!$C$33, 22.7667, 22.7656) * CHOOSE(CONTROL!$C$16, $D$11, 100%, $F$11)</f>
        <v>22.7667</v>
      </c>
      <c r="I711" s="8">
        <f>CHOOSE( CONTROL!$C$33, 21.6617, 21.6606) * CHOOSE(CONTROL!$C$16, $D$11, 100%, $F$11)</f>
        <v>21.6617</v>
      </c>
      <c r="J711" s="4">
        <f>CHOOSE( CONTROL!$C$33, 21.4653, 21.4642) * CHOOSE(CONTROL!$C$16, $D$11, 100%, $F$11)</f>
        <v>21.465299999999999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62823</v>
      </c>
      <c r="B712" s="8">
        <f>CHOOSE( CONTROL!$C$33, 22.0865, 22.0855) * CHOOSE(CONTROL!$C$16, $D$11, 100%, $F$11)</f>
        <v>22.086500000000001</v>
      </c>
      <c r="C712" s="8">
        <f>CHOOSE( CONTROL!$C$33, 22.0916, 22.0905) * CHOOSE(CONTROL!$C$16, $D$11, 100%, $F$11)</f>
        <v>22.0916</v>
      </c>
      <c r="D712" s="8">
        <f>CHOOSE( CONTROL!$C$33, 22.0834, 22.0824) * CHOOSE( CONTROL!$C$16, $D$11, 100%, $F$11)</f>
        <v>22.083400000000001</v>
      </c>
      <c r="E712" s="12">
        <f>CHOOSE( CONTROL!$C$33, 22.0859, 22.0848) * CHOOSE( CONTROL!$C$16, $D$11, 100%, $F$11)</f>
        <v>22.085899999999999</v>
      </c>
      <c r="F712" s="4">
        <f>CHOOSE( CONTROL!$C$33, 22.7467, 22.7456) * CHOOSE(CONTROL!$C$16, $D$11, 100%, $F$11)</f>
        <v>22.746700000000001</v>
      </c>
      <c r="G712" s="8">
        <f>CHOOSE( CONTROL!$C$33, 21.8468, 21.8458) * CHOOSE( CONTROL!$C$16, $D$11, 100%, $F$11)</f>
        <v>21.846800000000002</v>
      </c>
      <c r="H712" s="4">
        <f>CHOOSE( CONTROL!$C$33, 22.7269, 22.7259) * CHOOSE(CONTROL!$C$16, $D$11, 100%, $F$11)</f>
        <v>22.726900000000001</v>
      </c>
      <c r="I712" s="8">
        <f>CHOOSE( CONTROL!$C$33, 21.6271, 21.626) * CHOOSE(CONTROL!$C$16, $D$11, 100%, $F$11)</f>
        <v>21.627099999999999</v>
      </c>
      <c r="J712" s="4">
        <f>CHOOSE( CONTROL!$C$33, 21.4262, 21.4252) * CHOOSE(CONTROL!$C$16, $D$11, 100%, $F$11)</f>
        <v>21.426200000000001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62854</v>
      </c>
      <c r="B713" s="8">
        <f>CHOOSE( CONTROL!$C$33, 22.7377, 22.7366) * CHOOSE(CONTROL!$C$16, $D$11, 100%, $F$11)</f>
        <v>22.7377</v>
      </c>
      <c r="C713" s="8">
        <f>CHOOSE( CONTROL!$C$33, 22.7428, 22.7417) * CHOOSE(CONTROL!$C$16, $D$11, 100%, $F$11)</f>
        <v>22.742799999999999</v>
      </c>
      <c r="D713" s="8">
        <f>CHOOSE( CONTROL!$C$33, 22.7454, 22.7444) * CHOOSE( CONTROL!$C$16, $D$11, 100%, $F$11)</f>
        <v>22.7454</v>
      </c>
      <c r="E713" s="12">
        <f>CHOOSE( CONTROL!$C$33, 22.7439, 22.7429) * CHOOSE( CONTROL!$C$16, $D$11, 100%, $F$11)</f>
        <v>22.7439</v>
      </c>
      <c r="F713" s="4">
        <f>CHOOSE( CONTROL!$C$33, 23.3979, 23.3968) * CHOOSE(CONTROL!$C$16, $D$11, 100%, $F$11)</f>
        <v>23.3979</v>
      </c>
      <c r="G713" s="8">
        <f>CHOOSE( CONTROL!$C$33, 22.4932, 22.4921) * CHOOSE( CONTROL!$C$16, $D$11, 100%, $F$11)</f>
        <v>22.493200000000002</v>
      </c>
      <c r="H713" s="4">
        <f>CHOOSE( CONTROL!$C$33, 23.3705, 23.3694) * CHOOSE(CONTROL!$C$16, $D$11, 100%, $F$11)</f>
        <v>23.3705</v>
      </c>
      <c r="I713" s="8">
        <f>CHOOSE( CONTROL!$C$33, 22.2308, 22.2298) * CHOOSE(CONTROL!$C$16, $D$11, 100%, $F$11)</f>
        <v>22.230799999999999</v>
      </c>
      <c r="J713" s="4">
        <f>CHOOSE( CONTROL!$C$33, 22.0582, 22.0572) * CHOOSE(CONTROL!$C$16, $D$11, 100%, $F$11)</f>
        <v>22.058199999999999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62883</v>
      </c>
      <c r="B714" s="8">
        <f>CHOOSE( CONTROL!$C$33, 21.2684, 21.2673) * CHOOSE(CONTROL!$C$16, $D$11, 100%, $F$11)</f>
        <v>21.2684</v>
      </c>
      <c r="C714" s="8">
        <f>CHOOSE( CONTROL!$C$33, 21.2735, 21.2724) * CHOOSE(CONTROL!$C$16, $D$11, 100%, $F$11)</f>
        <v>21.273499999999999</v>
      </c>
      <c r="D714" s="8">
        <f>CHOOSE( CONTROL!$C$33, 21.2761, 21.275) * CHOOSE( CONTROL!$C$16, $D$11, 100%, $F$11)</f>
        <v>21.2761</v>
      </c>
      <c r="E714" s="12">
        <f>CHOOSE( CONTROL!$C$33, 21.2746, 21.2735) * CHOOSE( CONTROL!$C$16, $D$11, 100%, $F$11)</f>
        <v>21.2746</v>
      </c>
      <c r="F714" s="4">
        <f>CHOOSE( CONTROL!$C$33, 21.9285, 21.9275) * CHOOSE(CONTROL!$C$16, $D$11, 100%, $F$11)</f>
        <v>21.9285</v>
      </c>
      <c r="G714" s="8">
        <f>CHOOSE( CONTROL!$C$33, 21.0411, 21.04) * CHOOSE( CONTROL!$C$16, $D$11, 100%, $F$11)</f>
        <v>21.0411</v>
      </c>
      <c r="H714" s="4">
        <f>CHOOSE( CONTROL!$C$33, 21.9184, 21.9173) * CHOOSE(CONTROL!$C$16, $D$11, 100%, $F$11)</f>
        <v>21.918399999999998</v>
      </c>
      <c r="I714" s="8">
        <f>CHOOSE( CONTROL!$C$33, 20.8039, 20.8029) * CHOOSE(CONTROL!$C$16, $D$11, 100%, $F$11)</f>
        <v>20.803899999999999</v>
      </c>
      <c r="J714" s="4">
        <f>CHOOSE( CONTROL!$C$33, 20.6322, 20.6312) * CHOOSE(CONTROL!$C$16, $D$11, 100%, $F$11)</f>
        <v>20.632200000000001</v>
      </c>
      <c r="K714" s="4"/>
      <c r="L714" s="9">
        <v>27.415299999999998</v>
      </c>
      <c r="M714" s="9">
        <v>11.285299999999999</v>
      </c>
      <c r="N714" s="9">
        <v>4.6254999999999997</v>
      </c>
      <c r="O714" s="9">
        <v>0.34989999999999999</v>
      </c>
      <c r="P714" s="9">
        <v>1.2093</v>
      </c>
      <c r="Q714" s="9">
        <v>18.417899999999999</v>
      </c>
      <c r="R714" s="9"/>
      <c r="S714" s="11"/>
    </row>
    <row r="715" spans="1:19" ht="15.75">
      <c r="A715" s="13">
        <v>62914</v>
      </c>
      <c r="B715" s="8">
        <f>CHOOSE( CONTROL!$C$33, 20.8159, 20.8148) * CHOOSE(CONTROL!$C$16, $D$11, 100%, $F$11)</f>
        <v>20.815899999999999</v>
      </c>
      <c r="C715" s="8">
        <f>CHOOSE( CONTROL!$C$33, 20.821, 20.8199) * CHOOSE(CONTROL!$C$16, $D$11, 100%, $F$11)</f>
        <v>20.821000000000002</v>
      </c>
      <c r="D715" s="8">
        <f>CHOOSE( CONTROL!$C$33, 20.8228, 20.8217) * CHOOSE( CONTROL!$C$16, $D$11, 100%, $F$11)</f>
        <v>20.822800000000001</v>
      </c>
      <c r="E715" s="12">
        <f>CHOOSE( CONTROL!$C$33, 20.8216, 20.8205) * CHOOSE( CONTROL!$C$16, $D$11, 100%, $F$11)</f>
        <v>20.8216</v>
      </c>
      <c r="F715" s="4">
        <f>CHOOSE( CONTROL!$C$33, 21.476, 21.4749) * CHOOSE(CONTROL!$C$16, $D$11, 100%, $F$11)</f>
        <v>21.475999999999999</v>
      </c>
      <c r="G715" s="8">
        <f>CHOOSE( CONTROL!$C$33, 20.5933, 20.5923) * CHOOSE( CONTROL!$C$16, $D$11, 100%, $F$11)</f>
        <v>20.593299999999999</v>
      </c>
      <c r="H715" s="4">
        <f>CHOOSE( CONTROL!$C$33, 21.4711, 21.4701) * CHOOSE(CONTROL!$C$16, $D$11, 100%, $F$11)</f>
        <v>21.4711</v>
      </c>
      <c r="I715" s="8">
        <f>CHOOSE( CONTROL!$C$33, 20.3624, 20.3613) * CHOOSE(CONTROL!$C$16, $D$11, 100%, $F$11)</f>
        <v>20.362400000000001</v>
      </c>
      <c r="J715" s="4">
        <f>CHOOSE( CONTROL!$C$33, 20.1931, 20.192) * CHOOSE(CONTROL!$C$16, $D$11, 100%, $F$11)</f>
        <v>20.193100000000001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62944</v>
      </c>
      <c r="B716" s="8">
        <f>CHOOSE( CONTROL!$C$33, 21.1329, 21.1318) * CHOOSE(CONTROL!$C$16, $D$11, 100%, $F$11)</f>
        <v>21.132899999999999</v>
      </c>
      <c r="C716" s="8">
        <f>CHOOSE( CONTROL!$C$33, 21.1374, 21.1363) * CHOOSE(CONTROL!$C$16, $D$11, 100%, $F$11)</f>
        <v>21.1374</v>
      </c>
      <c r="D716" s="8">
        <f>CHOOSE( CONTROL!$C$33, 21.1617, 21.1606) * CHOOSE( CONTROL!$C$16, $D$11, 100%, $F$11)</f>
        <v>21.1617</v>
      </c>
      <c r="E716" s="12">
        <f>CHOOSE( CONTROL!$C$33, 21.1532, 21.1521) * CHOOSE( CONTROL!$C$16, $D$11, 100%, $F$11)</f>
        <v>21.153199999999998</v>
      </c>
      <c r="F716" s="4">
        <f>CHOOSE( CONTROL!$C$33, 21.8618, 21.8607) * CHOOSE(CONTROL!$C$16, $D$11, 100%, $F$11)</f>
        <v>21.861799999999999</v>
      </c>
      <c r="G716" s="8">
        <f>CHOOSE( CONTROL!$C$33, 20.9156, 20.9145) * CHOOSE( CONTROL!$C$16, $D$11, 100%, $F$11)</f>
        <v>20.915600000000001</v>
      </c>
      <c r="H716" s="4">
        <f>CHOOSE( CONTROL!$C$33, 21.8524, 21.8513) * CHOOSE(CONTROL!$C$16, $D$11, 100%, $F$11)</f>
        <v>21.852399999999999</v>
      </c>
      <c r="I716" s="8">
        <f>CHOOSE( CONTROL!$C$33, 20.6347, 20.6336) * CHOOSE(CONTROL!$C$16, $D$11, 100%, $F$11)</f>
        <v>20.634699999999999</v>
      </c>
      <c r="J716" s="4">
        <f>CHOOSE( CONTROL!$C$33, 20.5, 20.4989) * CHOOSE(CONTROL!$C$16, $D$11, 100%, $F$11)</f>
        <v>20.5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1.2509999999999999</v>
      </c>
      <c r="Q716" s="9">
        <v>19.053000000000001</v>
      </c>
      <c r="R716" s="9"/>
      <c r="S716" s="11"/>
    </row>
    <row r="717" spans="1:19" ht="15.75">
      <c r="A717" s="13">
        <v>62975</v>
      </c>
      <c r="B717" s="8">
        <f>CHOOSE( CONTROL!$C$33, 21.6976, 21.696) * CHOOSE(CONTROL!$C$16, $D$11, 100%, $F$11)</f>
        <v>21.697600000000001</v>
      </c>
      <c r="C717" s="8">
        <f>CHOOSE( CONTROL!$C$33, 21.7056, 21.7039) * CHOOSE(CONTROL!$C$16, $D$11, 100%, $F$11)</f>
        <v>21.7056</v>
      </c>
      <c r="D717" s="8">
        <f>CHOOSE( CONTROL!$C$33, 21.7239, 21.7222) * CHOOSE( CONTROL!$C$16, $D$11, 100%, $F$11)</f>
        <v>21.7239</v>
      </c>
      <c r="E717" s="12">
        <f>CHOOSE( CONTROL!$C$33, 21.716, 21.7144) * CHOOSE( CONTROL!$C$16, $D$11, 100%, $F$11)</f>
        <v>21.716000000000001</v>
      </c>
      <c r="F717" s="4">
        <f>CHOOSE( CONTROL!$C$33, 22.4252, 22.4235) * CHOOSE(CONTROL!$C$16, $D$11, 100%, $F$11)</f>
        <v>22.4252</v>
      </c>
      <c r="G717" s="8">
        <f>CHOOSE( CONTROL!$C$33, 21.4722, 21.4706) * CHOOSE( CONTROL!$C$16, $D$11, 100%, $F$11)</f>
        <v>21.472200000000001</v>
      </c>
      <c r="H717" s="4">
        <f>CHOOSE( CONTROL!$C$33, 22.4092, 22.4076) * CHOOSE(CONTROL!$C$16, $D$11, 100%, $F$11)</f>
        <v>22.409199999999998</v>
      </c>
      <c r="I717" s="8">
        <f>CHOOSE( CONTROL!$C$33, 21.1811, 21.1795) * CHOOSE(CONTROL!$C$16, $D$11, 100%, $F$11)</f>
        <v>21.181100000000001</v>
      </c>
      <c r="J717" s="4">
        <f>CHOOSE( CONTROL!$C$33, 21.0467, 21.0451) * CHOOSE(CONTROL!$C$16, $D$11, 100%, $F$11)</f>
        <v>21.046700000000001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1.2927</v>
      </c>
      <c r="Q717" s="9">
        <v>19.688099999999999</v>
      </c>
      <c r="R717" s="9"/>
      <c r="S717" s="11"/>
    </row>
    <row r="718" spans="1:19" ht="15.75">
      <c r="A718" s="13">
        <v>63005</v>
      </c>
      <c r="B718" s="8">
        <f>CHOOSE( CONTROL!$C$33, 21.349, 21.3473) * CHOOSE(CONTROL!$C$16, $D$11, 100%, $F$11)</f>
        <v>21.349</v>
      </c>
      <c r="C718" s="8">
        <f>CHOOSE( CONTROL!$C$33, 21.357, 21.3553) * CHOOSE(CONTROL!$C$16, $D$11, 100%, $F$11)</f>
        <v>21.356999999999999</v>
      </c>
      <c r="D718" s="8">
        <f>CHOOSE( CONTROL!$C$33, 21.3755, 21.3738) * CHOOSE( CONTROL!$C$16, $D$11, 100%, $F$11)</f>
        <v>21.375499999999999</v>
      </c>
      <c r="E718" s="12">
        <f>CHOOSE( CONTROL!$C$33, 21.3676, 21.3659) * CHOOSE( CONTROL!$C$16, $D$11, 100%, $F$11)</f>
        <v>21.367599999999999</v>
      </c>
      <c r="F718" s="4">
        <f>CHOOSE( CONTROL!$C$33, 22.0765, 22.0749) * CHOOSE(CONTROL!$C$16, $D$11, 100%, $F$11)</f>
        <v>22.076499999999999</v>
      </c>
      <c r="G718" s="8">
        <f>CHOOSE( CONTROL!$C$33, 21.1279, 21.1262) * CHOOSE( CONTROL!$C$16, $D$11, 100%, $F$11)</f>
        <v>21.1279</v>
      </c>
      <c r="H718" s="4">
        <f>CHOOSE( CONTROL!$C$33, 22.0646, 22.063) * CHOOSE(CONTROL!$C$16, $D$11, 100%, $F$11)</f>
        <v>22.064599999999999</v>
      </c>
      <c r="I718" s="8">
        <f>CHOOSE( CONTROL!$C$33, 20.8434, 20.8418) * CHOOSE(CONTROL!$C$16, $D$11, 100%, $F$11)</f>
        <v>20.843399999999999</v>
      </c>
      <c r="J718" s="4">
        <f>CHOOSE( CONTROL!$C$33, 20.7084, 20.7068) * CHOOSE(CONTROL!$C$16, $D$11, 100%, $F$11)</f>
        <v>20.708400000000001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1.2509999999999999</v>
      </c>
      <c r="Q718" s="9">
        <v>19.053000000000001</v>
      </c>
      <c r="R718" s="9"/>
      <c r="S718" s="11"/>
    </row>
    <row r="719" spans="1:19" ht="15.75">
      <c r="A719" s="13">
        <v>63036</v>
      </c>
      <c r="B719" s="8">
        <f>CHOOSE( CONTROL!$C$33, 22.2671, 22.2654) * CHOOSE(CONTROL!$C$16, $D$11, 100%, $F$11)</f>
        <v>22.267099999999999</v>
      </c>
      <c r="C719" s="8">
        <f>CHOOSE( CONTROL!$C$33, 22.2751, 22.2734) * CHOOSE(CONTROL!$C$16, $D$11, 100%, $F$11)</f>
        <v>22.275099999999998</v>
      </c>
      <c r="D719" s="8">
        <f>CHOOSE( CONTROL!$C$33, 22.2938, 22.2922) * CHOOSE( CONTROL!$C$16, $D$11, 100%, $F$11)</f>
        <v>22.293800000000001</v>
      </c>
      <c r="E719" s="12">
        <f>CHOOSE( CONTROL!$C$33, 22.2858, 22.2842) * CHOOSE( CONTROL!$C$16, $D$11, 100%, $F$11)</f>
        <v>22.285799999999998</v>
      </c>
      <c r="F719" s="4">
        <f>CHOOSE( CONTROL!$C$33, 22.9946, 22.993) * CHOOSE(CONTROL!$C$16, $D$11, 100%, $F$11)</f>
        <v>22.994599999999998</v>
      </c>
      <c r="G719" s="8">
        <f>CHOOSE( CONTROL!$C$33, 22.0354, 22.0338) * CHOOSE( CONTROL!$C$16, $D$11, 100%, $F$11)</f>
        <v>22.035399999999999</v>
      </c>
      <c r="H719" s="4">
        <f>CHOOSE( CONTROL!$C$33, 22.972, 22.9703) * CHOOSE(CONTROL!$C$16, $D$11, 100%, $F$11)</f>
        <v>22.972000000000001</v>
      </c>
      <c r="I719" s="8">
        <f>CHOOSE( CONTROL!$C$33, 21.7357, 21.7341) * CHOOSE(CONTROL!$C$16, $D$11, 100%, $F$11)</f>
        <v>21.735700000000001</v>
      </c>
      <c r="J719" s="4">
        <f>CHOOSE( CONTROL!$C$33, 21.5994, 21.5978) * CHOOSE(CONTROL!$C$16, $D$11, 100%, $F$11)</f>
        <v>21.599399999999999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1.2927</v>
      </c>
      <c r="Q719" s="9">
        <v>19.688099999999999</v>
      </c>
      <c r="R719" s="9"/>
      <c r="S719" s="11"/>
    </row>
    <row r="720" spans="1:19" ht="15.75">
      <c r="A720" s="13">
        <v>63067</v>
      </c>
      <c r="B720" s="8">
        <f>CHOOSE( CONTROL!$C$33, 20.5492, 20.5476) * CHOOSE(CONTROL!$C$16, $D$11, 100%, $F$11)</f>
        <v>20.549199999999999</v>
      </c>
      <c r="C720" s="8">
        <f>CHOOSE( CONTROL!$C$33, 20.5572, 20.5555) * CHOOSE(CONTROL!$C$16, $D$11, 100%, $F$11)</f>
        <v>20.557200000000002</v>
      </c>
      <c r="D720" s="8">
        <f>CHOOSE( CONTROL!$C$33, 20.5761, 20.5744) * CHOOSE( CONTROL!$C$16, $D$11, 100%, $F$11)</f>
        <v>20.5761</v>
      </c>
      <c r="E720" s="12">
        <f>CHOOSE( CONTROL!$C$33, 20.568, 20.5663) * CHOOSE( CONTROL!$C$16, $D$11, 100%, $F$11)</f>
        <v>20.568000000000001</v>
      </c>
      <c r="F720" s="4">
        <f>CHOOSE( CONTROL!$C$33, 21.2768, 21.2751) * CHOOSE(CONTROL!$C$16, $D$11, 100%, $F$11)</f>
        <v>21.276800000000001</v>
      </c>
      <c r="G720" s="8">
        <f>CHOOSE( CONTROL!$C$33, 20.3377, 20.3361) * CHOOSE( CONTROL!$C$16, $D$11, 100%, $F$11)</f>
        <v>20.337700000000002</v>
      </c>
      <c r="H720" s="4">
        <f>CHOOSE( CONTROL!$C$33, 21.2742, 21.2726) * CHOOSE(CONTROL!$C$16, $D$11, 100%, $F$11)</f>
        <v>21.2742</v>
      </c>
      <c r="I720" s="8">
        <f>CHOOSE( CONTROL!$C$33, 20.068, 20.0664) * CHOOSE(CONTROL!$C$16, $D$11, 100%, $F$11)</f>
        <v>20.068000000000001</v>
      </c>
      <c r="J720" s="4">
        <f>CHOOSE( CONTROL!$C$33, 19.9322, 19.9306) * CHOOSE(CONTROL!$C$16, $D$11, 100%, $F$11)</f>
        <v>19.932200000000002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1.2927</v>
      </c>
      <c r="Q720" s="9">
        <v>19.688099999999999</v>
      </c>
      <c r="R720" s="9"/>
      <c r="S720" s="11"/>
    </row>
    <row r="721" spans="1:19" ht="15.75">
      <c r="A721" s="13">
        <v>63097</v>
      </c>
      <c r="B721" s="8">
        <f>CHOOSE( CONTROL!$C$33, 20.119, 20.1174) * CHOOSE(CONTROL!$C$16, $D$11, 100%, $F$11)</f>
        <v>20.119</v>
      </c>
      <c r="C721" s="8">
        <f>CHOOSE( CONTROL!$C$33, 20.127, 20.1254) * CHOOSE(CONTROL!$C$16, $D$11, 100%, $F$11)</f>
        <v>20.126999999999999</v>
      </c>
      <c r="D721" s="8">
        <f>CHOOSE( CONTROL!$C$33, 20.1458, 20.1441) * CHOOSE( CONTROL!$C$16, $D$11, 100%, $F$11)</f>
        <v>20.145800000000001</v>
      </c>
      <c r="E721" s="12">
        <f>CHOOSE( CONTROL!$C$33, 20.1378, 20.1361) * CHOOSE( CONTROL!$C$16, $D$11, 100%, $F$11)</f>
        <v>20.137799999999999</v>
      </c>
      <c r="F721" s="4">
        <f>CHOOSE( CONTROL!$C$33, 20.8466, 20.8449) * CHOOSE(CONTROL!$C$16, $D$11, 100%, $F$11)</f>
        <v>20.846599999999999</v>
      </c>
      <c r="G721" s="8">
        <f>CHOOSE( CONTROL!$C$33, 19.9125, 19.9109) * CHOOSE( CONTROL!$C$16, $D$11, 100%, $F$11)</f>
        <v>19.912500000000001</v>
      </c>
      <c r="H721" s="4">
        <f>CHOOSE( CONTROL!$C$33, 20.8491, 20.8475) * CHOOSE(CONTROL!$C$16, $D$11, 100%, $F$11)</f>
        <v>20.8491</v>
      </c>
      <c r="I721" s="8">
        <f>CHOOSE( CONTROL!$C$33, 19.6499, 19.6483) * CHOOSE(CONTROL!$C$16, $D$11, 100%, $F$11)</f>
        <v>19.649899999999999</v>
      </c>
      <c r="J721" s="4">
        <f>CHOOSE( CONTROL!$C$33, 19.5147, 19.5131) * CHOOSE(CONTROL!$C$16, $D$11, 100%, $F$11)</f>
        <v>19.514700000000001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1.2509999999999999</v>
      </c>
      <c r="Q721" s="9">
        <v>19.053000000000001</v>
      </c>
      <c r="R721" s="9"/>
      <c r="S721" s="11"/>
    </row>
    <row r="722" spans="1:19" ht="15.75">
      <c r="A722" s="13">
        <v>63128</v>
      </c>
      <c r="B722" s="8">
        <f>CHOOSE( CONTROL!$C$33, 21.0099, 21.0088) * CHOOSE(CONTROL!$C$16, $D$11, 100%, $F$11)</f>
        <v>21.009899999999998</v>
      </c>
      <c r="C722" s="8">
        <f>CHOOSE( CONTROL!$C$33, 21.0153, 21.0142) * CHOOSE(CONTROL!$C$16, $D$11, 100%, $F$11)</f>
        <v>21.0153</v>
      </c>
      <c r="D722" s="8">
        <f>CHOOSE( CONTROL!$C$33, 21.0397, 21.0386) * CHOOSE( CONTROL!$C$16, $D$11, 100%, $F$11)</f>
        <v>21.0397</v>
      </c>
      <c r="E722" s="12">
        <f>CHOOSE( CONTROL!$C$33, 21.0311, 21.03) * CHOOSE( CONTROL!$C$16, $D$11, 100%, $F$11)</f>
        <v>21.031099999999999</v>
      </c>
      <c r="F722" s="4">
        <f>CHOOSE( CONTROL!$C$33, 21.7392, 21.7381) * CHOOSE(CONTROL!$C$16, $D$11, 100%, $F$11)</f>
        <v>21.7392</v>
      </c>
      <c r="G722" s="8">
        <f>CHOOSE( CONTROL!$C$33, 20.7948, 20.7938) * CHOOSE( CONTROL!$C$16, $D$11, 100%, $F$11)</f>
        <v>20.794799999999999</v>
      </c>
      <c r="H722" s="4">
        <f>CHOOSE( CONTROL!$C$33, 21.7313, 21.7302) * CHOOSE(CONTROL!$C$16, $D$11, 100%, $F$11)</f>
        <v>21.731300000000001</v>
      </c>
      <c r="I722" s="8">
        <f>CHOOSE( CONTROL!$C$33, 20.5175, 20.5165) * CHOOSE(CONTROL!$C$16, $D$11, 100%, $F$11)</f>
        <v>20.517499999999998</v>
      </c>
      <c r="J722" s="4">
        <f>CHOOSE( CONTROL!$C$33, 20.381, 20.3799) * CHOOSE(CONTROL!$C$16, $D$11, 100%, $F$11)</f>
        <v>20.381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1.2927</v>
      </c>
      <c r="Q722" s="9">
        <v>19.688099999999999</v>
      </c>
      <c r="R722" s="9"/>
      <c r="S722" s="11"/>
    </row>
    <row r="723" spans="1:19" ht="15.75">
      <c r="A723" s="13">
        <v>63158</v>
      </c>
      <c r="B723" s="8">
        <f>CHOOSE( CONTROL!$C$33, 22.6582, 22.6571) * CHOOSE(CONTROL!$C$16, $D$11, 100%, $F$11)</f>
        <v>22.658200000000001</v>
      </c>
      <c r="C723" s="8">
        <f>CHOOSE( CONTROL!$C$33, 22.6632, 22.6622) * CHOOSE(CONTROL!$C$16, $D$11, 100%, $F$11)</f>
        <v>22.6632</v>
      </c>
      <c r="D723" s="8">
        <f>CHOOSE( CONTROL!$C$33, 22.6536, 22.6526) * CHOOSE( CONTROL!$C$16, $D$11, 100%, $F$11)</f>
        <v>22.653600000000001</v>
      </c>
      <c r="E723" s="12">
        <f>CHOOSE( CONTROL!$C$33, 22.6566, 22.6556) * CHOOSE( CONTROL!$C$16, $D$11, 100%, $F$11)</f>
        <v>22.656600000000001</v>
      </c>
      <c r="F723" s="4">
        <f>CHOOSE( CONTROL!$C$33, 23.3183, 23.3172) * CHOOSE(CONTROL!$C$16, $D$11, 100%, $F$11)</f>
        <v>23.318300000000001</v>
      </c>
      <c r="G723" s="8">
        <f>CHOOSE( CONTROL!$C$33, 22.4107, 22.4097) * CHOOSE( CONTROL!$C$16, $D$11, 100%, $F$11)</f>
        <v>22.410699999999999</v>
      </c>
      <c r="H723" s="4">
        <f>CHOOSE( CONTROL!$C$33, 23.2919, 23.2908) * CHOOSE(CONTROL!$C$16, $D$11, 100%, $F$11)</f>
        <v>23.291899999999998</v>
      </c>
      <c r="I723" s="8">
        <f>CHOOSE( CONTROL!$C$33, 22.1777, 22.1766) * CHOOSE(CONTROL!$C$16, $D$11, 100%, $F$11)</f>
        <v>22.177700000000002</v>
      </c>
      <c r="J723" s="4">
        <f>CHOOSE( CONTROL!$C$33, 21.981, 21.9799) * CHOOSE(CONTROL!$C$16, $D$11, 100%, $F$11)</f>
        <v>21.981000000000002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63189</v>
      </c>
      <c r="B724" s="8">
        <f>CHOOSE( CONTROL!$C$33, 22.617, 22.6159) * CHOOSE(CONTROL!$C$16, $D$11, 100%, $F$11)</f>
        <v>22.617000000000001</v>
      </c>
      <c r="C724" s="8">
        <f>CHOOSE( CONTROL!$C$33, 22.6221, 22.621) * CHOOSE(CONTROL!$C$16, $D$11, 100%, $F$11)</f>
        <v>22.6221</v>
      </c>
      <c r="D724" s="8">
        <f>CHOOSE( CONTROL!$C$33, 22.6139, 22.6128) * CHOOSE( CONTROL!$C$16, $D$11, 100%, $F$11)</f>
        <v>22.613900000000001</v>
      </c>
      <c r="E724" s="12">
        <f>CHOOSE( CONTROL!$C$33, 22.6164, 22.6153) * CHOOSE( CONTROL!$C$16, $D$11, 100%, $F$11)</f>
        <v>22.616399999999999</v>
      </c>
      <c r="F724" s="4">
        <f>CHOOSE( CONTROL!$C$33, 23.2771, 23.276) * CHOOSE(CONTROL!$C$16, $D$11, 100%, $F$11)</f>
        <v>23.277100000000001</v>
      </c>
      <c r="G724" s="8">
        <f>CHOOSE( CONTROL!$C$33, 22.3711, 22.37) * CHOOSE( CONTROL!$C$16, $D$11, 100%, $F$11)</f>
        <v>22.371099999999998</v>
      </c>
      <c r="H724" s="4">
        <f>CHOOSE( CONTROL!$C$33, 23.2512, 23.2501) * CHOOSE(CONTROL!$C$16, $D$11, 100%, $F$11)</f>
        <v>23.251200000000001</v>
      </c>
      <c r="I724" s="8">
        <f>CHOOSE( CONTROL!$C$33, 22.1421, 22.1411) * CHOOSE(CONTROL!$C$16, $D$11, 100%, $F$11)</f>
        <v>22.142099999999999</v>
      </c>
      <c r="J724" s="4">
        <f>CHOOSE( CONTROL!$C$33, 21.941, 21.94) * CHOOSE(CONTROL!$C$16, $D$11, 100%, $F$11)</f>
        <v>21.940999999999999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63220</v>
      </c>
      <c r="B725" s="8">
        <f>CHOOSE( CONTROL!$C$33, 23.2838, 23.2827) * CHOOSE(CONTROL!$C$16, $D$11, 100%, $F$11)</f>
        <v>23.283799999999999</v>
      </c>
      <c r="C725" s="8">
        <f>CHOOSE( CONTROL!$C$33, 23.2889, 23.2878) * CHOOSE(CONTROL!$C$16, $D$11, 100%, $F$11)</f>
        <v>23.288900000000002</v>
      </c>
      <c r="D725" s="8">
        <f>CHOOSE( CONTROL!$C$33, 23.2915, 23.2904) * CHOOSE( CONTROL!$C$16, $D$11, 100%, $F$11)</f>
        <v>23.291499999999999</v>
      </c>
      <c r="E725" s="12">
        <f>CHOOSE( CONTROL!$C$33, 23.29, 23.2889) * CHOOSE( CONTROL!$C$16, $D$11, 100%, $F$11)</f>
        <v>23.29</v>
      </c>
      <c r="F725" s="4">
        <f>CHOOSE( CONTROL!$C$33, 23.9439, 23.9429) * CHOOSE(CONTROL!$C$16, $D$11, 100%, $F$11)</f>
        <v>23.943899999999999</v>
      </c>
      <c r="G725" s="8">
        <f>CHOOSE( CONTROL!$C$33, 23.0329, 23.0318) * CHOOSE( CONTROL!$C$16, $D$11, 100%, $F$11)</f>
        <v>23.032900000000001</v>
      </c>
      <c r="H725" s="4">
        <f>CHOOSE( CONTROL!$C$33, 23.9102, 23.9091) * CHOOSE(CONTROL!$C$16, $D$11, 100%, $F$11)</f>
        <v>23.9102</v>
      </c>
      <c r="I725" s="8">
        <f>CHOOSE( CONTROL!$C$33, 22.7611, 22.76) * CHOOSE(CONTROL!$C$16, $D$11, 100%, $F$11)</f>
        <v>22.761099999999999</v>
      </c>
      <c r="J725" s="4">
        <f>CHOOSE( CONTROL!$C$33, 22.5882, 22.5871) * CHOOSE(CONTROL!$C$16, $D$11, 100%, $F$11)</f>
        <v>22.588200000000001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63248</v>
      </c>
      <c r="B726" s="8">
        <f>CHOOSE( CONTROL!$C$33, 21.7792, 21.7781) * CHOOSE(CONTROL!$C$16, $D$11, 100%, $F$11)</f>
        <v>21.779199999999999</v>
      </c>
      <c r="C726" s="8">
        <f>CHOOSE( CONTROL!$C$33, 21.7843, 21.7832) * CHOOSE(CONTROL!$C$16, $D$11, 100%, $F$11)</f>
        <v>21.784300000000002</v>
      </c>
      <c r="D726" s="8">
        <f>CHOOSE( CONTROL!$C$33, 21.7868, 21.7858) * CHOOSE( CONTROL!$C$16, $D$11, 100%, $F$11)</f>
        <v>21.786799999999999</v>
      </c>
      <c r="E726" s="12">
        <f>CHOOSE( CONTROL!$C$33, 21.7853, 21.7843) * CHOOSE( CONTROL!$C$16, $D$11, 100%, $F$11)</f>
        <v>21.785299999999999</v>
      </c>
      <c r="F726" s="4">
        <f>CHOOSE( CONTROL!$C$33, 22.4393, 22.4382) * CHOOSE(CONTROL!$C$16, $D$11, 100%, $F$11)</f>
        <v>22.439299999999999</v>
      </c>
      <c r="G726" s="8">
        <f>CHOOSE( CONTROL!$C$33, 21.5459, 21.5448) * CHOOSE( CONTROL!$C$16, $D$11, 100%, $F$11)</f>
        <v>21.5459</v>
      </c>
      <c r="H726" s="4">
        <f>CHOOSE( CONTROL!$C$33, 22.4232, 22.4221) * CHOOSE(CONTROL!$C$16, $D$11, 100%, $F$11)</f>
        <v>22.423200000000001</v>
      </c>
      <c r="I726" s="8">
        <f>CHOOSE( CONTROL!$C$33, 21.2999, 21.2988) * CHOOSE(CONTROL!$C$16, $D$11, 100%, $F$11)</f>
        <v>21.299900000000001</v>
      </c>
      <c r="J726" s="4">
        <f>CHOOSE( CONTROL!$C$33, 21.128, 21.1269) * CHOOSE(CONTROL!$C$16, $D$11, 100%, $F$11)</f>
        <v>21.128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63279</v>
      </c>
      <c r="B727" s="8">
        <f>CHOOSE( CONTROL!$C$33, 21.3158, 21.3147) * CHOOSE(CONTROL!$C$16, $D$11, 100%, $F$11)</f>
        <v>21.315799999999999</v>
      </c>
      <c r="C727" s="8">
        <f>CHOOSE( CONTROL!$C$33, 21.3209, 21.3198) * CHOOSE(CONTROL!$C$16, $D$11, 100%, $F$11)</f>
        <v>21.320900000000002</v>
      </c>
      <c r="D727" s="8">
        <f>CHOOSE( CONTROL!$C$33, 21.3227, 21.3217) * CHOOSE( CONTROL!$C$16, $D$11, 100%, $F$11)</f>
        <v>21.322700000000001</v>
      </c>
      <c r="E727" s="12">
        <f>CHOOSE( CONTROL!$C$33, 21.3215, 21.3205) * CHOOSE( CONTROL!$C$16, $D$11, 100%, $F$11)</f>
        <v>21.3215</v>
      </c>
      <c r="F727" s="4">
        <f>CHOOSE( CONTROL!$C$33, 21.9759, 21.9748) * CHOOSE(CONTROL!$C$16, $D$11, 100%, $F$11)</f>
        <v>21.975899999999999</v>
      </c>
      <c r="G727" s="8">
        <f>CHOOSE( CONTROL!$C$33, 21.0874, 21.0863) * CHOOSE( CONTROL!$C$16, $D$11, 100%, $F$11)</f>
        <v>21.087399999999999</v>
      </c>
      <c r="H727" s="4">
        <f>CHOOSE( CONTROL!$C$33, 21.9652, 21.9641) * CHOOSE(CONTROL!$C$16, $D$11, 100%, $F$11)</f>
        <v>21.965199999999999</v>
      </c>
      <c r="I727" s="8">
        <f>CHOOSE( CONTROL!$C$33, 20.8478, 20.8467) * CHOOSE(CONTROL!$C$16, $D$11, 100%, $F$11)</f>
        <v>20.847799999999999</v>
      </c>
      <c r="J727" s="4">
        <f>CHOOSE( CONTROL!$C$33, 20.6782, 20.6772) * CHOOSE(CONTROL!$C$16, $D$11, 100%, $F$11)</f>
        <v>20.6782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63309</v>
      </c>
      <c r="B728" s="8">
        <f>CHOOSE( CONTROL!$C$33, 21.6404, 21.6393) * CHOOSE(CONTROL!$C$16, $D$11, 100%, $F$11)</f>
        <v>21.6404</v>
      </c>
      <c r="C728" s="8">
        <f>CHOOSE( CONTROL!$C$33, 21.6449, 21.6438) * CHOOSE(CONTROL!$C$16, $D$11, 100%, $F$11)</f>
        <v>21.6449</v>
      </c>
      <c r="D728" s="8">
        <f>CHOOSE( CONTROL!$C$33, 21.6692, 21.6682) * CHOOSE( CONTROL!$C$16, $D$11, 100%, $F$11)</f>
        <v>21.6692</v>
      </c>
      <c r="E728" s="12">
        <f>CHOOSE( CONTROL!$C$33, 21.6607, 21.6596) * CHOOSE( CONTROL!$C$16, $D$11, 100%, $F$11)</f>
        <v>21.660699999999999</v>
      </c>
      <c r="F728" s="4">
        <f>CHOOSE( CONTROL!$C$33, 22.3693, 22.3682) * CHOOSE(CONTROL!$C$16, $D$11, 100%, $F$11)</f>
        <v>22.369299999999999</v>
      </c>
      <c r="G728" s="8">
        <f>CHOOSE( CONTROL!$C$33, 21.4171, 21.416) * CHOOSE( CONTROL!$C$16, $D$11, 100%, $F$11)</f>
        <v>21.417100000000001</v>
      </c>
      <c r="H728" s="4">
        <f>CHOOSE( CONTROL!$C$33, 22.354, 22.3529) * CHOOSE(CONTROL!$C$16, $D$11, 100%, $F$11)</f>
        <v>22.353999999999999</v>
      </c>
      <c r="I728" s="8">
        <f>CHOOSE( CONTROL!$C$33, 21.1274, 21.1264) * CHOOSE(CONTROL!$C$16, $D$11, 100%, $F$11)</f>
        <v>21.127400000000002</v>
      </c>
      <c r="J728" s="4">
        <f>CHOOSE( CONTROL!$C$33, 20.9925, 20.9914) * CHOOSE(CONTROL!$C$16, $D$11, 100%, $F$11)</f>
        <v>20.9925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1.2509999999999999</v>
      </c>
      <c r="Q728" s="9">
        <v>19.053000000000001</v>
      </c>
      <c r="R728" s="9"/>
      <c r="S728" s="11"/>
    </row>
    <row r="729" spans="1:19" ht="15.75">
      <c r="A729" s="13">
        <v>63340</v>
      </c>
      <c r="B729" s="8">
        <f>CHOOSE( CONTROL!$C$33, 22.2186, 22.217) * CHOOSE(CONTROL!$C$16, $D$11, 100%, $F$11)</f>
        <v>22.218599999999999</v>
      </c>
      <c r="C729" s="8">
        <f>CHOOSE( CONTROL!$C$33, 22.2266, 22.225) * CHOOSE(CONTROL!$C$16, $D$11, 100%, $F$11)</f>
        <v>22.226600000000001</v>
      </c>
      <c r="D729" s="8">
        <f>CHOOSE( CONTROL!$C$33, 22.2449, 22.2433) * CHOOSE( CONTROL!$C$16, $D$11, 100%, $F$11)</f>
        <v>22.244900000000001</v>
      </c>
      <c r="E729" s="12">
        <f>CHOOSE( CONTROL!$C$33, 22.237, 22.2354) * CHOOSE( CONTROL!$C$16, $D$11, 100%, $F$11)</f>
        <v>22.236999999999998</v>
      </c>
      <c r="F729" s="4">
        <f>CHOOSE( CONTROL!$C$33, 22.9462, 22.9445) * CHOOSE(CONTROL!$C$16, $D$11, 100%, $F$11)</f>
        <v>22.946200000000001</v>
      </c>
      <c r="G729" s="8">
        <f>CHOOSE( CONTROL!$C$33, 21.9872, 21.9855) * CHOOSE( CONTROL!$C$16, $D$11, 100%, $F$11)</f>
        <v>21.987200000000001</v>
      </c>
      <c r="H729" s="4">
        <f>CHOOSE( CONTROL!$C$33, 22.9241, 22.9225) * CHOOSE(CONTROL!$C$16, $D$11, 100%, $F$11)</f>
        <v>22.924099999999999</v>
      </c>
      <c r="I729" s="8">
        <f>CHOOSE( CONTROL!$C$33, 21.687, 21.6854) * CHOOSE(CONTROL!$C$16, $D$11, 100%, $F$11)</f>
        <v>21.687000000000001</v>
      </c>
      <c r="J729" s="4">
        <f>CHOOSE( CONTROL!$C$33, 21.5524, 21.5508) * CHOOSE(CONTROL!$C$16, $D$11, 100%, $F$11)</f>
        <v>21.552399999999999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1.2927</v>
      </c>
      <c r="Q729" s="9">
        <v>19.688099999999999</v>
      </c>
      <c r="R729" s="9"/>
      <c r="S729" s="11"/>
    </row>
    <row r="730" spans="1:19" ht="15.75">
      <c r="A730" s="13">
        <v>63370</v>
      </c>
      <c r="B730" s="8">
        <f>CHOOSE( CONTROL!$C$33, 21.8616, 21.86) * CHOOSE(CONTROL!$C$16, $D$11, 100%, $F$11)</f>
        <v>21.861599999999999</v>
      </c>
      <c r="C730" s="8">
        <f>CHOOSE( CONTROL!$C$33, 21.8696, 21.8679) * CHOOSE(CONTROL!$C$16, $D$11, 100%, $F$11)</f>
        <v>21.869599999999998</v>
      </c>
      <c r="D730" s="8">
        <f>CHOOSE( CONTROL!$C$33, 21.8881, 21.8865) * CHOOSE( CONTROL!$C$16, $D$11, 100%, $F$11)</f>
        <v>21.888100000000001</v>
      </c>
      <c r="E730" s="12">
        <f>CHOOSE( CONTROL!$C$33, 21.8802, 21.8786) * CHOOSE( CONTROL!$C$16, $D$11, 100%, $F$11)</f>
        <v>21.880199999999999</v>
      </c>
      <c r="F730" s="4">
        <f>CHOOSE( CONTROL!$C$33, 22.5892, 22.5875) * CHOOSE(CONTROL!$C$16, $D$11, 100%, $F$11)</f>
        <v>22.589200000000002</v>
      </c>
      <c r="G730" s="8">
        <f>CHOOSE( CONTROL!$C$33, 21.6345, 21.6329) * CHOOSE( CONTROL!$C$16, $D$11, 100%, $F$11)</f>
        <v>21.634499999999999</v>
      </c>
      <c r="H730" s="4">
        <f>CHOOSE( CONTROL!$C$33, 22.5713, 22.5696) * CHOOSE(CONTROL!$C$16, $D$11, 100%, $F$11)</f>
        <v>22.571300000000001</v>
      </c>
      <c r="I730" s="8">
        <f>CHOOSE( CONTROL!$C$33, 21.3412, 21.3396) * CHOOSE(CONTROL!$C$16, $D$11, 100%, $F$11)</f>
        <v>21.341200000000001</v>
      </c>
      <c r="J730" s="4">
        <f>CHOOSE( CONTROL!$C$33, 21.2059, 21.2043) * CHOOSE(CONTROL!$C$16, $D$11, 100%, $F$11)</f>
        <v>21.2059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1.2509999999999999</v>
      </c>
      <c r="Q730" s="9">
        <v>19.053000000000001</v>
      </c>
      <c r="R730" s="9"/>
      <c r="S730" s="11"/>
    </row>
    <row r="731" spans="1:19" ht="15.75">
      <c r="A731" s="13">
        <v>63401</v>
      </c>
      <c r="B731" s="8">
        <f>CHOOSE( CONTROL!$C$33, 22.8018, 22.8001) * CHOOSE(CONTROL!$C$16, $D$11, 100%, $F$11)</f>
        <v>22.8018</v>
      </c>
      <c r="C731" s="8">
        <f>CHOOSE( CONTROL!$C$33, 22.8098, 22.8081) * CHOOSE(CONTROL!$C$16, $D$11, 100%, $F$11)</f>
        <v>22.809799999999999</v>
      </c>
      <c r="D731" s="8">
        <f>CHOOSE( CONTROL!$C$33, 22.8286, 22.8269) * CHOOSE( CONTROL!$C$16, $D$11, 100%, $F$11)</f>
        <v>22.828600000000002</v>
      </c>
      <c r="E731" s="12">
        <f>CHOOSE( CONTROL!$C$33, 22.8206, 22.8189) * CHOOSE( CONTROL!$C$16, $D$11, 100%, $F$11)</f>
        <v>22.820599999999999</v>
      </c>
      <c r="F731" s="4">
        <f>CHOOSE( CONTROL!$C$33, 23.5293, 23.5277) * CHOOSE(CONTROL!$C$16, $D$11, 100%, $F$11)</f>
        <v>23.529299999999999</v>
      </c>
      <c r="G731" s="8">
        <f>CHOOSE( CONTROL!$C$33, 22.5639, 22.5622) * CHOOSE( CONTROL!$C$16, $D$11, 100%, $F$11)</f>
        <v>22.5639</v>
      </c>
      <c r="H731" s="4">
        <f>CHOOSE( CONTROL!$C$33, 23.5004, 23.4988) * CHOOSE(CONTROL!$C$16, $D$11, 100%, $F$11)</f>
        <v>23.500399999999999</v>
      </c>
      <c r="I731" s="8">
        <f>CHOOSE( CONTROL!$C$33, 22.2549, 22.2533) * CHOOSE(CONTROL!$C$16, $D$11, 100%, $F$11)</f>
        <v>22.254899999999999</v>
      </c>
      <c r="J731" s="4">
        <f>CHOOSE( CONTROL!$C$33, 22.1183, 22.1167) * CHOOSE(CONTROL!$C$16, $D$11, 100%, $F$11)</f>
        <v>22.118300000000001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1.2927</v>
      </c>
      <c r="Q731" s="9">
        <v>19.688099999999999</v>
      </c>
      <c r="R731" s="9"/>
      <c r="S731" s="11"/>
    </row>
    <row r="732" spans="1:19" ht="15.75">
      <c r="A732" s="13">
        <v>63432</v>
      </c>
      <c r="B732" s="8">
        <f>CHOOSE( CONTROL!$C$33, 21.0426, 21.041) * CHOOSE(CONTROL!$C$16, $D$11, 100%, $F$11)</f>
        <v>21.0426</v>
      </c>
      <c r="C732" s="8">
        <f>CHOOSE( CONTROL!$C$33, 21.0506, 21.049) * CHOOSE(CONTROL!$C$16, $D$11, 100%, $F$11)</f>
        <v>21.050599999999999</v>
      </c>
      <c r="D732" s="8">
        <f>CHOOSE( CONTROL!$C$33, 21.0695, 21.0678) * CHOOSE( CONTROL!$C$16, $D$11, 100%, $F$11)</f>
        <v>21.069500000000001</v>
      </c>
      <c r="E732" s="12">
        <f>CHOOSE( CONTROL!$C$33, 21.0614, 21.0598) * CHOOSE( CONTROL!$C$16, $D$11, 100%, $F$11)</f>
        <v>21.061399999999999</v>
      </c>
      <c r="F732" s="4">
        <f>CHOOSE( CONTROL!$C$33, 21.7702, 21.7685) * CHOOSE(CONTROL!$C$16, $D$11, 100%, $F$11)</f>
        <v>21.770199999999999</v>
      </c>
      <c r="G732" s="8">
        <f>CHOOSE( CONTROL!$C$33, 20.8254, 20.8237) * CHOOSE( CONTROL!$C$16, $D$11, 100%, $F$11)</f>
        <v>20.825399999999998</v>
      </c>
      <c r="H732" s="4">
        <f>CHOOSE( CONTROL!$C$33, 21.7619, 21.7603) * CHOOSE(CONTROL!$C$16, $D$11, 100%, $F$11)</f>
        <v>21.761900000000001</v>
      </c>
      <c r="I732" s="8">
        <f>CHOOSE( CONTROL!$C$33, 20.5471, 20.5455) * CHOOSE(CONTROL!$C$16, $D$11, 100%, $F$11)</f>
        <v>20.5471</v>
      </c>
      <c r="J732" s="4">
        <f>CHOOSE( CONTROL!$C$33, 20.4111, 20.4095) * CHOOSE(CONTROL!$C$16, $D$11, 100%, $F$11)</f>
        <v>20.411100000000001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1.2927</v>
      </c>
      <c r="Q732" s="9">
        <v>19.688099999999999</v>
      </c>
      <c r="R732" s="9"/>
      <c r="S732" s="11"/>
    </row>
    <row r="733" spans="1:19" ht="15.75">
      <c r="A733" s="13">
        <v>63462</v>
      </c>
      <c r="B733" s="8">
        <f>CHOOSE( CONTROL!$C$33, 20.6021, 20.6005) * CHOOSE(CONTROL!$C$16, $D$11, 100%, $F$11)</f>
        <v>20.6021</v>
      </c>
      <c r="C733" s="8">
        <f>CHOOSE( CONTROL!$C$33, 20.6101, 20.6085) * CHOOSE(CONTROL!$C$16, $D$11, 100%, $F$11)</f>
        <v>20.610099999999999</v>
      </c>
      <c r="D733" s="8">
        <f>CHOOSE( CONTROL!$C$33, 20.6289, 20.6272) * CHOOSE( CONTROL!$C$16, $D$11, 100%, $F$11)</f>
        <v>20.628900000000002</v>
      </c>
      <c r="E733" s="12">
        <f>CHOOSE( CONTROL!$C$33, 20.6209, 20.6192) * CHOOSE( CONTROL!$C$16, $D$11, 100%, $F$11)</f>
        <v>20.620899999999999</v>
      </c>
      <c r="F733" s="4">
        <f>CHOOSE( CONTROL!$C$33, 21.3297, 21.328) * CHOOSE(CONTROL!$C$16, $D$11, 100%, $F$11)</f>
        <v>21.329699999999999</v>
      </c>
      <c r="G733" s="8">
        <f>CHOOSE( CONTROL!$C$33, 20.3899, 20.3883) * CHOOSE( CONTROL!$C$16, $D$11, 100%, $F$11)</f>
        <v>20.389900000000001</v>
      </c>
      <c r="H733" s="4">
        <f>CHOOSE( CONTROL!$C$33, 21.3265, 21.3249) * CHOOSE(CONTROL!$C$16, $D$11, 100%, $F$11)</f>
        <v>21.326499999999999</v>
      </c>
      <c r="I733" s="8">
        <f>CHOOSE( CONTROL!$C$33, 20.119, 20.1174) * CHOOSE(CONTROL!$C$16, $D$11, 100%, $F$11)</f>
        <v>20.119</v>
      </c>
      <c r="J733" s="4">
        <f>CHOOSE( CONTROL!$C$33, 19.9836, 19.9819) * CHOOSE(CONTROL!$C$16, $D$11, 100%, $F$11)</f>
        <v>19.983599999999999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1.2509999999999999</v>
      </c>
      <c r="Q733" s="9">
        <v>19.053000000000001</v>
      </c>
      <c r="R733" s="9"/>
      <c r="S733" s="11"/>
    </row>
    <row r="734" spans="1:19" ht="15.75">
      <c r="A734" s="13">
        <v>63493</v>
      </c>
      <c r="B734" s="8">
        <f>CHOOSE( CONTROL!$C$33, 21.5145, 21.5134) * CHOOSE(CONTROL!$C$16, $D$11, 100%, $F$11)</f>
        <v>21.514500000000002</v>
      </c>
      <c r="C734" s="8">
        <f>CHOOSE( CONTROL!$C$33, 21.5198, 21.5187) * CHOOSE(CONTROL!$C$16, $D$11, 100%, $F$11)</f>
        <v>21.5198</v>
      </c>
      <c r="D734" s="8">
        <f>CHOOSE( CONTROL!$C$33, 21.5442, 21.5432) * CHOOSE( CONTROL!$C$16, $D$11, 100%, $F$11)</f>
        <v>21.5442</v>
      </c>
      <c r="E734" s="12">
        <f>CHOOSE( CONTROL!$C$33, 21.5356, 21.5345) * CHOOSE( CONTROL!$C$16, $D$11, 100%, $F$11)</f>
        <v>21.535599999999999</v>
      </c>
      <c r="F734" s="4">
        <f>CHOOSE( CONTROL!$C$33, 22.2438, 22.2427) * CHOOSE(CONTROL!$C$16, $D$11, 100%, $F$11)</f>
        <v>22.2438</v>
      </c>
      <c r="G734" s="8">
        <f>CHOOSE( CONTROL!$C$33, 21.2935, 21.2924) * CHOOSE( CONTROL!$C$16, $D$11, 100%, $F$11)</f>
        <v>21.293500000000002</v>
      </c>
      <c r="H734" s="4">
        <f>CHOOSE( CONTROL!$C$33, 22.2299, 22.2288) * CHOOSE(CONTROL!$C$16, $D$11, 100%, $F$11)</f>
        <v>22.229900000000001</v>
      </c>
      <c r="I734" s="8">
        <f>CHOOSE( CONTROL!$C$33, 21.0074, 21.0064) * CHOOSE(CONTROL!$C$16, $D$11, 100%, $F$11)</f>
        <v>21.007400000000001</v>
      </c>
      <c r="J734" s="4">
        <f>CHOOSE( CONTROL!$C$33, 20.8707, 20.8696) * CHOOSE(CONTROL!$C$16, $D$11, 100%, $F$11)</f>
        <v>20.870699999999999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1.2927</v>
      </c>
      <c r="Q734" s="9">
        <v>19.688099999999999</v>
      </c>
      <c r="R734" s="9"/>
      <c r="S734" s="11"/>
    </row>
    <row r="735" spans="1:19" ht="15.75">
      <c r="A735" s="13">
        <v>63523</v>
      </c>
      <c r="B735" s="8">
        <f>CHOOSE( CONTROL!$C$33, 23.2023, 23.2013) * CHOOSE(CONTROL!$C$16, $D$11, 100%, $F$11)</f>
        <v>23.202300000000001</v>
      </c>
      <c r="C735" s="8">
        <f>CHOOSE( CONTROL!$C$33, 23.2074, 23.2063) * CHOOSE(CONTROL!$C$16, $D$11, 100%, $F$11)</f>
        <v>23.2074</v>
      </c>
      <c r="D735" s="8">
        <f>CHOOSE( CONTROL!$C$33, 23.1978, 23.1967) * CHOOSE( CONTROL!$C$16, $D$11, 100%, $F$11)</f>
        <v>23.197800000000001</v>
      </c>
      <c r="E735" s="12">
        <f>CHOOSE( CONTROL!$C$33, 23.2008, 23.1997) * CHOOSE( CONTROL!$C$16, $D$11, 100%, $F$11)</f>
        <v>23.200800000000001</v>
      </c>
      <c r="F735" s="4">
        <f>CHOOSE( CONTROL!$C$33, 23.8625, 23.8614) * CHOOSE(CONTROL!$C$16, $D$11, 100%, $F$11)</f>
        <v>23.862500000000001</v>
      </c>
      <c r="G735" s="8">
        <f>CHOOSE( CONTROL!$C$33, 22.9485, 22.9475) * CHOOSE( CONTROL!$C$16, $D$11, 100%, $F$11)</f>
        <v>22.948499999999999</v>
      </c>
      <c r="H735" s="4">
        <f>CHOOSE( CONTROL!$C$33, 23.8297, 23.8286) * CHOOSE(CONTROL!$C$16, $D$11, 100%, $F$11)</f>
        <v>23.829699999999999</v>
      </c>
      <c r="I735" s="8">
        <f>CHOOSE( CONTROL!$C$33, 22.7061, 22.705) * CHOOSE(CONTROL!$C$16, $D$11, 100%, $F$11)</f>
        <v>22.706099999999999</v>
      </c>
      <c r="J735" s="4">
        <f>CHOOSE( CONTROL!$C$33, 22.5091, 22.5081) * CHOOSE(CONTROL!$C$16, $D$11, 100%, $F$11)</f>
        <v>22.5091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63554</v>
      </c>
      <c r="B736" s="8">
        <f>CHOOSE( CONTROL!$C$33, 23.1602, 23.1591) * CHOOSE(CONTROL!$C$16, $D$11, 100%, $F$11)</f>
        <v>23.1602</v>
      </c>
      <c r="C736" s="8">
        <f>CHOOSE( CONTROL!$C$33, 23.1652, 23.1642) * CHOOSE(CONTROL!$C$16, $D$11, 100%, $F$11)</f>
        <v>23.165199999999999</v>
      </c>
      <c r="D736" s="8">
        <f>CHOOSE( CONTROL!$C$33, 23.1571, 23.156) * CHOOSE( CONTROL!$C$16, $D$11, 100%, $F$11)</f>
        <v>23.1571</v>
      </c>
      <c r="E736" s="12">
        <f>CHOOSE( CONTROL!$C$33, 23.1595, 23.1585) * CHOOSE( CONTROL!$C$16, $D$11, 100%, $F$11)</f>
        <v>23.159500000000001</v>
      </c>
      <c r="F736" s="4">
        <f>CHOOSE( CONTROL!$C$33, 23.8203, 23.8192) * CHOOSE(CONTROL!$C$16, $D$11, 100%, $F$11)</f>
        <v>23.8203</v>
      </c>
      <c r="G736" s="8">
        <f>CHOOSE( CONTROL!$C$33, 22.9079, 22.9068) * CHOOSE( CONTROL!$C$16, $D$11, 100%, $F$11)</f>
        <v>22.907900000000001</v>
      </c>
      <c r="H736" s="4">
        <f>CHOOSE( CONTROL!$C$33, 23.788, 23.7869) * CHOOSE(CONTROL!$C$16, $D$11, 100%, $F$11)</f>
        <v>23.788</v>
      </c>
      <c r="I736" s="8">
        <f>CHOOSE( CONTROL!$C$33, 22.6695, 22.6685) * CHOOSE(CONTROL!$C$16, $D$11, 100%, $F$11)</f>
        <v>22.669499999999999</v>
      </c>
      <c r="J736" s="4">
        <f>CHOOSE( CONTROL!$C$33, 22.4682, 22.4671) * CHOOSE(CONTROL!$C$16, $D$11, 100%, $F$11)</f>
        <v>22.4682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63585</v>
      </c>
      <c r="B737" s="8">
        <f>CHOOSE( CONTROL!$C$33, 23.843, 23.8419) * CHOOSE(CONTROL!$C$16, $D$11, 100%, $F$11)</f>
        <v>23.843</v>
      </c>
      <c r="C737" s="8">
        <f>CHOOSE( CONTROL!$C$33, 23.8481, 23.847) * CHOOSE(CONTROL!$C$16, $D$11, 100%, $F$11)</f>
        <v>23.848099999999999</v>
      </c>
      <c r="D737" s="8">
        <f>CHOOSE( CONTROL!$C$33, 23.8507, 23.8496) * CHOOSE( CONTROL!$C$16, $D$11, 100%, $F$11)</f>
        <v>23.8507</v>
      </c>
      <c r="E737" s="12">
        <f>CHOOSE( CONTROL!$C$33, 23.8492, 23.8481) * CHOOSE( CONTROL!$C$16, $D$11, 100%, $F$11)</f>
        <v>23.8492</v>
      </c>
      <c r="F737" s="4">
        <f>CHOOSE( CONTROL!$C$33, 24.5031, 24.5021) * CHOOSE(CONTROL!$C$16, $D$11, 100%, $F$11)</f>
        <v>24.5031</v>
      </c>
      <c r="G737" s="8">
        <f>CHOOSE( CONTROL!$C$33, 23.5856, 23.5845) * CHOOSE( CONTROL!$C$16, $D$11, 100%, $F$11)</f>
        <v>23.585599999999999</v>
      </c>
      <c r="H737" s="4">
        <f>CHOOSE( CONTROL!$C$33, 24.4628, 24.4618) * CHOOSE(CONTROL!$C$16, $D$11, 100%, $F$11)</f>
        <v>24.462800000000001</v>
      </c>
      <c r="I737" s="8">
        <f>CHOOSE( CONTROL!$C$33, 23.3041, 23.303) * CHOOSE(CONTROL!$C$16, $D$11, 100%, $F$11)</f>
        <v>23.304099999999998</v>
      </c>
      <c r="J737" s="4">
        <f>CHOOSE( CONTROL!$C$33, 23.1309, 23.1298) * CHOOSE(CONTROL!$C$16, $D$11, 100%, $F$11)</f>
        <v>23.1309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63613</v>
      </c>
      <c r="B738" s="8">
        <f>CHOOSE( CONTROL!$C$33, 22.3023, 22.3012) * CHOOSE(CONTROL!$C$16, $D$11, 100%, $F$11)</f>
        <v>22.302299999999999</v>
      </c>
      <c r="C738" s="8">
        <f>CHOOSE( CONTROL!$C$33, 22.3073, 22.3063) * CHOOSE(CONTROL!$C$16, $D$11, 100%, $F$11)</f>
        <v>22.307300000000001</v>
      </c>
      <c r="D738" s="8">
        <f>CHOOSE( CONTROL!$C$33, 22.3099, 22.3088) * CHOOSE( CONTROL!$C$16, $D$11, 100%, $F$11)</f>
        <v>22.309899999999999</v>
      </c>
      <c r="E738" s="12">
        <f>CHOOSE( CONTROL!$C$33, 22.3084, 22.3073) * CHOOSE( CONTROL!$C$16, $D$11, 100%, $F$11)</f>
        <v>22.308399999999999</v>
      </c>
      <c r="F738" s="4">
        <f>CHOOSE( CONTROL!$C$33, 22.9624, 22.9613) * CHOOSE(CONTROL!$C$16, $D$11, 100%, $F$11)</f>
        <v>22.962399999999999</v>
      </c>
      <c r="G738" s="8">
        <f>CHOOSE( CONTROL!$C$33, 22.0628, 22.0617) * CHOOSE( CONTROL!$C$16, $D$11, 100%, $F$11)</f>
        <v>22.062799999999999</v>
      </c>
      <c r="H738" s="4">
        <f>CHOOSE( CONTROL!$C$33, 22.9401, 22.9391) * CHOOSE(CONTROL!$C$16, $D$11, 100%, $F$11)</f>
        <v>22.940100000000001</v>
      </c>
      <c r="I738" s="8">
        <f>CHOOSE( CONTROL!$C$33, 21.8077, 21.8067) * CHOOSE(CONTROL!$C$16, $D$11, 100%, $F$11)</f>
        <v>21.807700000000001</v>
      </c>
      <c r="J738" s="4">
        <f>CHOOSE( CONTROL!$C$33, 21.6356, 21.6345) * CHOOSE(CONTROL!$C$16, $D$11, 100%, $F$11)</f>
        <v>21.6356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63644</v>
      </c>
      <c r="B739" s="8">
        <f>CHOOSE( CONTROL!$C$33, 21.8277, 21.8266) * CHOOSE(CONTROL!$C$16, $D$11, 100%, $F$11)</f>
        <v>21.8277</v>
      </c>
      <c r="C739" s="8">
        <f>CHOOSE( CONTROL!$C$33, 21.8328, 21.8317) * CHOOSE(CONTROL!$C$16, $D$11, 100%, $F$11)</f>
        <v>21.832799999999999</v>
      </c>
      <c r="D739" s="8">
        <f>CHOOSE( CONTROL!$C$33, 21.8347, 21.8336) * CHOOSE( CONTROL!$C$16, $D$11, 100%, $F$11)</f>
        <v>21.834700000000002</v>
      </c>
      <c r="E739" s="12">
        <f>CHOOSE( CONTROL!$C$33, 21.8335, 21.8324) * CHOOSE( CONTROL!$C$16, $D$11, 100%, $F$11)</f>
        <v>21.833500000000001</v>
      </c>
      <c r="F739" s="4">
        <f>CHOOSE( CONTROL!$C$33, 22.4878, 22.4868) * CHOOSE(CONTROL!$C$16, $D$11, 100%, $F$11)</f>
        <v>22.4878</v>
      </c>
      <c r="G739" s="8">
        <f>CHOOSE( CONTROL!$C$33, 21.5933, 21.5922) * CHOOSE( CONTROL!$C$16, $D$11, 100%, $F$11)</f>
        <v>21.593299999999999</v>
      </c>
      <c r="H739" s="4">
        <f>CHOOSE( CONTROL!$C$33, 22.4711, 22.4701) * CHOOSE(CONTROL!$C$16, $D$11, 100%, $F$11)</f>
        <v>22.4711</v>
      </c>
      <c r="I739" s="8">
        <f>CHOOSE( CONTROL!$C$33, 21.3448, 21.3438) * CHOOSE(CONTROL!$C$16, $D$11, 100%, $F$11)</f>
        <v>21.344799999999999</v>
      </c>
      <c r="J739" s="4">
        <f>CHOOSE( CONTROL!$C$33, 21.175, 21.174) * CHOOSE(CONTROL!$C$16, $D$11, 100%, $F$11)</f>
        <v>21.175000000000001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63674</v>
      </c>
      <c r="B740" s="8">
        <f>CHOOSE( CONTROL!$C$33, 22.1601, 22.159) * CHOOSE(CONTROL!$C$16, $D$11, 100%, $F$11)</f>
        <v>22.1601</v>
      </c>
      <c r="C740" s="8">
        <f>CHOOSE( CONTROL!$C$33, 22.1646, 22.1635) * CHOOSE(CONTROL!$C$16, $D$11, 100%, $F$11)</f>
        <v>22.1646</v>
      </c>
      <c r="D740" s="8">
        <f>CHOOSE( CONTROL!$C$33, 22.1889, 22.1879) * CHOOSE( CONTROL!$C$16, $D$11, 100%, $F$11)</f>
        <v>22.1889</v>
      </c>
      <c r="E740" s="12">
        <f>CHOOSE( CONTROL!$C$33, 22.1804, 22.1793) * CHOOSE( CONTROL!$C$16, $D$11, 100%, $F$11)</f>
        <v>22.180399999999999</v>
      </c>
      <c r="F740" s="4">
        <f>CHOOSE( CONTROL!$C$33, 22.889, 22.8879) * CHOOSE(CONTROL!$C$16, $D$11, 100%, $F$11)</f>
        <v>22.888999999999999</v>
      </c>
      <c r="G740" s="8">
        <f>CHOOSE( CONTROL!$C$33, 21.9307, 21.9297) * CHOOSE( CONTROL!$C$16, $D$11, 100%, $F$11)</f>
        <v>21.930700000000002</v>
      </c>
      <c r="H740" s="4">
        <f>CHOOSE( CONTROL!$C$33, 22.8676, 22.8665) * CHOOSE(CONTROL!$C$16, $D$11, 100%, $F$11)</f>
        <v>22.867599999999999</v>
      </c>
      <c r="I740" s="8">
        <f>CHOOSE( CONTROL!$C$33, 21.6321, 21.631) * CHOOSE(CONTROL!$C$16, $D$11, 100%, $F$11)</f>
        <v>21.632100000000001</v>
      </c>
      <c r="J740" s="4">
        <f>CHOOSE( CONTROL!$C$33, 21.4969, 21.4958) * CHOOSE(CONTROL!$C$16, $D$11, 100%, $F$11)</f>
        <v>21.4969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1.2509999999999999</v>
      </c>
      <c r="Q740" s="9">
        <v>19.053000000000001</v>
      </c>
      <c r="R740" s="9"/>
      <c r="S740" s="11"/>
    </row>
    <row r="741" spans="1:19" ht="15.75">
      <c r="A741" s="13">
        <v>63705</v>
      </c>
      <c r="B741" s="8">
        <f>CHOOSE( CONTROL!$C$33, 22.7522, 22.7505) * CHOOSE(CONTROL!$C$16, $D$11, 100%, $F$11)</f>
        <v>22.752199999999998</v>
      </c>
      <c r="C741" s="8">
        <f>CHOOSE( CONTROL!$C$33, 22.7602, 22.7585) * CHOOSE(CONTROL!$C$16, $D$11, 100%, $F$11)</f>
        <v>22.760200000000001</v>
      </c>
      <c r="D741" s="8">
        <f>CHOOSE( CONTROL!$C$33, 22.7785, 22.7768) * CHOOSE( CONTROL!$C$16, $D$11, 100%, $F$11)</f>
        <v>22.778500000000001</v>
      </c>
      <c r="E741" s="12">
        <f>CHOOSE( CONTROL!$C$33, 22.7706, 22.7689) * CHOOSE( CONTROL!$C$16, $D$11, 100%, $F$11)</f>
        <v>22.770600000000002</v>
      </c>
      <c r="F741" s="4">
        <f>CHOOSE( CONTROL!$C$33, 23.4797, 23.4781) * CHOOSE(CONTROL!$C$16, $D$11, 100%, $F$11)</f>
        <v>23.479700000000001</v>
      </c>
      <c r="G741" s="8">
        <f>CHOOSE( CONTROL!$C$33, 22.5145, 22.5128) * CHOOSE( CONTROL!$C$16, $D$11, 100%, $F$11)</f>
        <v>22.514500000000002</v>
      </c>
      <c r="H741" s="4">
        <f>CHOOSE( CONTROL!$C$33, 23.4514, 23.4498) * CHOOSE(CONTROL!$C$16, $D$11, 100%, $F$11)</f>
        <v>23.4514</v>
      </c>
      <c r="I741" s="8">
        <f>CHOOSE( CONTROL!$C$33, 22.2051, 22.2035) * CHOOSE(CONTROL!$C$16, $D$11, 100%, $F$11)</f>
        <v>22.205100000000002</v>
      </c>
      <c r="J741" s="4">
        <f>CHOOSE( CONTROL!$C$33, 22.0702, 22.0686) * CHOOSE(CONTROL!$C$16, $D$11, 100%, $F$11)</f>
        <v>22.0702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1.2927</v>
      </c>
      <c r="Q741" s="9">
        <v>19.688099999999999</v>
      </c>
      <c r="R741" s="9"/>
      <c r="S741" s="11"/>
    </row>
    <row r="742" spans="1:19" ht="15.75">
      <c r="A742" s="13">
        <v>63735</v>
      </c>
      <c r="B742" s="8">
        <f>CHOOSE( CONTROL!$C$33, 22.3866, 22.3849) * CHOOSE(CONTROL!$C$16, $D$11, 100%, $F$11)</f>
        <v>22.386600000000001</v>
      </c>
      <c r="C742" s="8">
        <f>CHOOSE( CONTROL!$C$33, 22.3946, 22.3929) * CHOOSE(CONTROL!$C$16, $D$11, 100%, $F$11)</f>
        <v>22.394600000000001</v>
      </c>
      <c r="D742" s="8">
        <f>CHOOSE( CONTROL!$C$33, 22.4131, 22.4115) * CHOOSE( CONTROL!$C$16, $D$11, 100%, $F$11)</f>
        <v>22.4131</v>
      </c>
      <c r="E742" s="12">
        <f>CHOOSE( CONTROL!$C$33, 22.4052, 22.4035) * CHOOSE( CONTROL!$C$16, $D$11, 100%, $F$11)</f>
        <v>22.405200000000001</v>
      </c>
      <c r="F742" s="4">
        <f>CHOOSE( CONTROL!$C$33, 23.1142, 23.1125) * CHOOSE(CONTROL!$C$16, $D$11, 100%, $F$11)</f>
        <v>23.1142</v>
      </c>
      <c r="G742" s="8">
        <f>CHOOSE( CONTROL!$C$33, 22.1533, 22.1517) * CHOOSE( CONTROL!$C$16, $D$11, 100%, $F$11)</f>
        <v>22.153300000000002</v>
      </c>
      <c r="H742" s="4">
        <f>CHOOSE( CONTROL!$C$33, 23.0901, 23.0885) * CHOOSE(CONTROL!$C$16, $D$11, 100%, $F$11)</f>
        <v>23.0901</v>
      </c>
      <c r="I742" s="8">
        <f>CHOOSE( CONTROL!$C$33, 21.8509, 21.8493) * CHOOSE(CONTROL!$C$16, $D$11, 100%, $F$11)</f>
        <v>21.850899999999999</v>
      </c>
      <c r="J742" s="4">
        <f>CHOOSE( CONTROL!$C$33, 21.7154, 21.7138) * CHOOSE(CONTROL!$C$16, $D$11, 100%, $F$11)</f>
        <v>21.715399999999999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1.2509999999999999</v>
      </c>
      <c r="Q742" s="9">
        <v>19.053000000000001</v>
      </c>
      <c r="R742" s="9"/>
      <c r="S742" s="11"/>
    </row>
    <row r="743" spans="1:19" ht="15.75">
      <c r="A743" s="13">
        <v>63766</v>
      </c>
      <c r="B743" s="8">
        <f>CHOOSE( CONTROL!$C$33, 23.3494, 23.3477) * CHOOSE(CONTROL!$C$16, $D$11, 100%, $F$11)</f>
        <v>23.349399999999999</v>
      </c>
      <c r="C743" s="8">
        <f>CHOOSE( CONTROL!$C$33, 23.3573, 23.3557) * CHOOSE(CONTROL!$C$16, $D$11, 100%, $F$11)</f>
        <v>23.357299999999999</v>
      </c>
      <c r="D743" s="8">
        <f>CHOOSE( CONTROL!$C$33, 23.3761, 23.3745) * CHOOSE( CONTROL!$C$16, $D$11, 100%, $F$11)</f>
        <v>23.376100000000001</v>
      </c>
      <c r="E743" s="12">
        <f>CHOOSE( CONTROL!$C$33, 23.3681, 23.3665) * CHOOSE( CONTROL!$C$16, $D$11, 100%, $F$11)</f>
        <v>23.368099999999998</v>
      </c>
      <c r="F743" s="4">
        <f>CHOOSE( CONTROL!$C$33, 24.0769, 24.0752) * CHOOSE(CONTROL!$C$16, $D$11, 100%, $F$11)</f>
        <v>24.076899999999998</v>
      </c>
      <c r="G743" s="8">
        <f>CHOOSE( CONTROL!$C$33, 23.105, 23.1034) * CHOOSE( CONTROL!$C$16, $D$11, 100%, $F$11)</f>
        <v>23.105</v>
      </c>
      <c r="H743" s="4">
        <f>CHOOSE( CONTROL!$C$33, 24.0416, 24.0399) * CHOOSE(CONTROL!$C$16, $D$11, 100%, $F$11)</f>
        <v>24.041599999999999</v>
      </c>
      <c r="I743" s="8">
        <f>CHOOSE( CONTROL!$C$33, 22.7866, 22.785) * CHOOSE(CONTROL!$C$16, $D$11, 100%, $F$11)</f>
        <v>22.7866</v>
      </c>
      <c r="J743" s="4">
        <f>CHOOSE( CONTROL!$C$33, 22.6497, 22.6481) * CHOOSE(CONTROL!$C$16, $D$11, 100%, $F$11)</f>
        <v>22.649699999999999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1.2927</v>
      </c>
      <c r="Q743" s="9">
        <v>19.688099999999999</v>
      </c>
      <c r="R743" s="9"/>
      <c r="S743" s="11"/>
    </row>
    <row r="744" spans="1:19" ht="15.75">
      <c r="A744" s="13">
        <v>63797</v>
      </c>
      <c r="B744" s="8">
        <f>CHOOSE( CONTROL!$C$33, 21.5479, 21.5463) * CHOOSE(CONTROL!$C$16, $D$11, 100%, $F$11)</f>
        <v>21.547899999999998</v>
      </c>
      <c r="C744" s="8">
        <f>CHOOSE( CONTROL!$C$33, 21.5559, 21.5543) * CHOOSE(CONTROL!$C$16, $D$11, 100%, $F$11)</f>
        <v>21.555900000000001</v>
      </c>
      <c r="D744" s="8">
        <f>CHOOSE( CONTROL!$C$33, 21.5748, 21.5731) * CHOOSE( CONTROL!$C$16, $D$11, 100%, $F$11)</f>
        <v>21.5748</v>
      </c>
      <c r="E744" s="12">
        <f>CHOOSE( CONTROL!$C$33, 21.5667, 21.5651) * CHOOSE( CONTROL!$C$16, $D$11, 100%, $F$11)</f>
        <v>21.566700000000001</v>
      </c>
      <c r="F744" s="4">
        <f>CHOOSE( CONTROL!$C$33, 22.2755, 22.2738) * CHOOSE(CONTROL!$C$16, $D$11, 100%, $F$11)</f>
        <v>22.275500000000001</v>
      </c>
      <c r="G744" s="8">
        <f>CHOOSE( CONTROL!$C$33, 21.3248, 21.3231) * CHOOSE( CONTROL!$C$16, $D$11, 100%, $F$11)</f>
        <v>21.3248</v>
      </c>
      <c r="H744" s="4">
        <f>CHOOSE( CONTROL!$C$33, 22.2613, 22.2596) * CHOOSE(CONTROL!$C$16, $D$11, 100%, $F$11)</f>
        <v>22.261299999999999</v>
      </c>
      <c r="I744" s="8">
        <f>CHOOSE( CONTROL!$C$33, 21.0377, 21.0361) * CHOOSE(CONTROL!$C$16, $D$11, 100%, $F$11)</f>
        <v>21.037700000000001</v>
      </c>
      <c r="J744" s="4">
        <f>CHOOSE( CONTROL!$C$33, 20.9015, 20.8998) * CHOOSE(CONTROL!$C$16, $D$11, 100%, $F$11)</f>
        <v>20.901499999999999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1.2927</v>
      </c>
      <c r="Q744" s="9">
        <v>19.688099999999999</v>
      </c>
      <c r="R744" s="9"/>
      <c r="S744" s="11"/>
    </row>
    <row r="745" spans="1:19" ht="15.75">
      <c r="A745" s="13">
        <v>63827</v>
      </c>
      <c r="B745" s="8">
        <f>CHOOSE( CONTROL!$C$33, 21.0968, 21.0952) * CHOOSE(CONTROL!$C$16, $D$11, 100%, $F$11)</f>
        <v>21.096800000000002</v>
      </c>
      <c r="C745" s="8">
        <f>CHOOSE( CONTROL!$C$33, 21.1048, 21.1032) * CHOOSE(CONTROL!$C$16, $D$11, 100%, $F$11)</f>
        <v>21.104800000000001</v>
      </c>
      <c r="D745" s="8">
        <f>CHOOSE( CONTROL!$C$33, 21.1236, 21.1219) * CHOOSE( CONTROL!$C$16, $D$11, 100%, $F$11)</f>
        <v>21.1236</v>
      </c>
      <c r="E745" s="12">
        <f>CHOOSE( CONTROL!$C$33, 21.1156, 21.1139) * CHOOSE( CONTROL!$C$16, $D$11, 100%, $F$11)</f>
        <v>21.115600000000001</v>
      </c>
      <c r="F745" s="4">
        <f>CHOOSE( CONTROL!$C$33, 21.8244, 21.8227) * CHOOSE(CONTROL!$C$16, $D$11, 100%, $F$11)</f>
        <v>21.824400000000001</v>
      </c>
      <c r="G745" s="8">
        <f>CHOOSE( CONTROL!$C$33, 20.8789, 20.8772) * CHOOSE( CONTROL!$C$16, $D$11, 100%, $F$11)</f>
        <v>20.878900000000002</v>
      </c>
      <c r="H745" s="4">
        <f>CHOOSE( CONTROL!$C$33, 21.8155, 21.8138) * CHOOSE(CONTROL!$C$16, $D$11, 100%, $F$11)</f>
        <v>21.8155</v>
      </c>
      <c r="I745" s="8">
        <f>CHOOSE( CONTROL!$C$33, 20.5993, 20.5977) * CHOOSE(CONTROL!$C$16, $D$11, 100%, $F$11)</f>
        <v>20.599299999999999</v>
      </c>
      <c r="J745" s="4">
        <f>CHOOSE( CONTROL!$C$33, 20.4637, 20.4621) * CHOOSE(CONTROL!$C$16, $D$11, 100%, $F$11)</f>
        <v>20.463699999999999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1.2509999999999999</v>
      </c>
      <c r="Q745" s="9">
        <v>19.053000000000001</v>
      </c>
      <c r="R745" s="9"/>
      <c r="S745" s="11"/>
    </row>
    <row r="746" spans="1:19" ht="15.75">
      <c r="A746" s="13">
        <v>63858</v>
      </c>
      <c r="B746" s="8">
        <f>CHOOSE( CONTROL!$C$33, 22.0312, 22.0301) * CHOOSE(CONTROL!$C$16, $D$11, 100%, $F$11)</f>
        <v>22.031199999999998</v>
      </c>
      <c r="C746" s="8">
        <f>CHOOSE( CONTROL!$C$33, 22.0365, 22.0354) * CHOOSE(CONTROL!$C$16, $D$11, 100%, $F$11)</f>
        <v>22.0365</v>
      </c>
      <c r="D746" s="8">
        <f>CHOOSE( CONTROL!$C$33, 22.0609, 22.0598) * CHOOSE( CONTROL!$C$16, $D$11, 100%, $F$11)</f>
        <v>22.0609</v>
      </c>
      <c r="E746" s="12">
        <f>CHOOSE( CONTROL!$C$33, 22.0523, 22.0512) * CHOOSE( CONTROL!$C$16, $D$11, 100%, $F$11)</f>
        <v>22.052299999999999</v>
      </c>
      <c r="F746" s="4">
        <f>CHOOSE( CONTROL!$C$33, 22.7605, 22.7594) * CHOOSE(CONTROL!$C$16, $D$11, 100%, $F$11)</f>
        <v>22.7605</v>
      </c>
      <c r="G746" s="8">
        <f>CHOOSE( CONTROL!$C$33, 21.8041, 21.8031) * CHOOSE( CONTROL!$C$16, $D$11, 100%, $F$11)</f>
        <v>21.804099999999998</v>
      </c>
      <c r="H746" s="4">
        <f>CHOOSE( CONTROL!$C$33, 22.7405, 22.7395) * CHOOSE(CONTROL!$C$16, $D$11, 100%, $F$11)</f>
        <v>22.740500000000001</v>
      </c>
      <c r="I746" s="8">
        <f>CHOOSE( CONTROL!$C$33, 21.5091, 21.5081) * CHOOSE(CONTROL!$C$16, $D$11, 100%, $F$11)</f>
        <v>21.5091</v>
      </c>
      <c r="J746" s="4">
        <f>CHOOSE( CONTROL!$C$33, 21.3721, 21.3711) * CHOOSE(CONTROL!$C$16, $D$11, 100%, $F$11)</f>
        <v>21.3721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1.2927</v>
      </c>
      <c r="Q746" s="9">
        <v>19.688099999999999</v>
      </c>
      <c r="R746" s="9"/>
      <c r="S746" s="11"/>
    </row>
    <row r="747" spans="1:19" ht="15.75">
      <c r="A747" s="13">
        <v>63888</v>
      </c>
      <c r="B747" s="8">
        <f>CHOOSE( CONTROL!$C$33, 23.7596, 23.7585) * CHOOSE(CONTROL!$C$16, $D$11, 100%, $F$11)</f>
        <v>23.759599999999999</v>
      </c>
      <c r="C747" s="8">
        <f>CHOOSE( CONTROL!$C$33, 23.7647, 23.7636) * CHOOSE(CONTROL!$C$16, $D$11, 100%, $F$11)</f>
        <v>23.764700000000001</v>
      </c>
      <c r="D747" s="8">
        <f>CHOOSE( CONTROL!$C$33, 23.7551, 23.754) * CHOOSE( CONTROL!$C$16, $D$11, 100%, $F$11)</f>
        <v>23.755099999999999</v>
      </c>
      <c r="E747" s="12">
        <f>CHOOSE( CONTROL!$C$33, 23.7581, 23.757) * CHOOSE( CONTROL!$C$16, $D$11, 100%, $F$11)</f>
        <v>23.758099999999999</v>
      </c>
      <c r="F747" s="4">
        <f>CHOOSE( CONTROL!$C$33, 24.4197, 24.4186) * CHOOSE(CONTROL!$C$16, $D$11, 100%, $F$11)</f>
        <v>24.419699999999999</v>
      </c>
      <c r="G747" s="8">
        <f>CHOOSE( CONTROL!$C$33, 23.4993, 23.4982) * CHOOSE( CONTROL!$C$16, $D$11, 100%, $F$11)</f>
        <v>23.499300000000002</v>
      </c>
      <c r="H747" s="4">
        <f>CHOOSE( CONTROL!$C$33, 24.3804, 24.3793) * CHOOSE(CONTROL!$C$16, $D$11, 100%, $F$11)</f>
        <v>24.380400000000002</v>
      </c>
      <c r="I747" s="8">
        <f>CHOOSE( CONTROL!$C$33, 23.2471, 23.2461) * CHOOSE(CONTROL!$C$16, $D$11, 100%, $F$11)</f>
        <v>23.2471</v>
      </c>
      <c r="J747" s="4">
        <f>CHOOSE( CONTROL!$C$33, 23.0499, 23.0489) * CHOOSE(CONTROL!$C$16, $D$11, 100%, $F$11)</f>
        <v>23.049900000000001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63919</v>
      </c>
      <c r="B748" s="8">
        <f>CHOOSE( CONTROL!$C$33, 23.7164, 23.7153) * CHOOSE(CONTROL!$C$16, $D$11, 100%, $F$11)</f>
        <v>23.7164</v>
      </c>
      <c r="C748" s="8">
        <f>CHOOSE( CONTROL!$C$33, 23.7215, 23.7204) * CHOOSE(CONTROL!$C$16, $D$11, 100%, $F$11)</f>
        <v>23.721499999999999</v>
      </c>
      <c r="D748" s="8">
        <f>CHOOSE( CONTROL!$C$33, 23.7133, 23.7122) * CHOOSE( CONTROL!$C$16, $D$11, 100%, $F$11)</f>
        <v>23.7133</v>
      </c>
      <c r="E748" s="12">
        <f>CHOOSE( CONTROL!$C$33, 23.7158, 23.7147) * CHOOSE( CONTROL!$C$16, $D$11, 100%, $F$11)</f>
        <v>23.715800000000002</v>
      </c>
      <c r="F748" s="4">
        <f>CHOOSE( CONTROL!$C$33, 24.3765, 24.3754) * CHOOSE(CONTROL!$C$16, $D$11, 100%, $F$11)</f>
        <v>24.3765</v>
      </c>
      <c r="G748" s="8">
        <f>CHOOSE( CONTROL!$C$33, 23.4576, 23.4565) * CHOOSE( CONTROL!$C$16, $D$11, 100%, $F$11)</f>
        <v>23.457599999999999</v>
      </c>
      <c r="H748" s="4">
        <f>CHOOSE( CONTROL!$C$33, 24.3377, 24.3366) * CHOOSE(CONTROL!$C$16, $D$11, 100%, $F$11)</f>
        <v>24.337700000000002</v>
      </c>
      <c r="I748" s="8">
        <f>CHOOSE( CONTROL!$C$33, 23.2096, 23.2086) * CHOOSE(CONTROL!$C$16, $D$11, 100%, $F$11)</f>
        <v>23.209599999999998</v>
      </c>
      <c r="J748" s="4">
        <f>CHOOSE( CONTROL!$C$33, 23.008, 23.007) * CHOOSE(CONTROL!$C$16, $D$11, 100%, $F$11)</f>
        <v>23.007999999999999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63950</v>
      </c>
      <c r="B749" s="8">
        <f>CHOOSE( CONTROL!$C$33, 24.4157, 24.4146) * CHOOSE(CONTROL!$C$16, $D$11, 100%, $F$11)</f>
        <v>24.415700000000001</v>
      </c>
      <c r="C749" s="8">
        <f>CHOOSE( CONTROL!$C$33, 24.4207, 24.4197) * CHOOSE(CONTROL!$C$16, $D$11, 100%, $F$11)</f>
        <v>24.4207</v>
      </c>
      <c r="D749" s="8">
        <f>CHOOSE( CONTROL!$C$33, 24.4234, 24.4223) * CHOOSE( CONTROL!$C$16, $D$11, 100%, $F$11)</f>
        <v>24.423400000000001</v>
      </c>
      <c r="E749" s="12">
        <f>CHOOSE( CONTROL!$C$33, 24.4219, 24.4208) * CHOOSE( CONTROL!$C$16, $D$11, 100%, $F$11)</f>
        <v>24.421900000000001</v>
      </c>
      <c r="F749" s="4">
        <f>CHOOSE( CONTROL!$C$33, 25.0758, 25.0747) * CHOOSE(CONTROL!$C$16, $D$11, 100%, $F$11)</f>
        <v>25.075800000000001</v>
      </c>
      <c r="G749" s="8">
        <f>CHOOSE( CONTROL!$C$33, 24.1515, 24.1504) * CHOOSE( CONTROL!$C$16, $D$11, 100%, $F$11)</f>
        <v>24.151499999999999</v>
      </c>
      <c r="H749" s="4">
        <f>CHOOSE( CONTROL!$C$33, 25.0288, 25.0277) * CHOOSE(CONTROL!$C$16, $D$11, 100%, $F$11)</f>
        <v>25.0288</v>
      </c>
      <c r="I749" s="8">
        <f>CHOOSE( CONTROL!$C$33, 23.8601, 23.859) * CHOOSE(CONTROL!$C$16, $D$11, 100%, $F$11)</f>
        <v>23.860099999999999</v>
      </c>
      <c r="J749" s="4">
        <f>CHOOSE( CONTROL!$C$33, 23.6866, 23.6856) * CHOOSE(CONTROL!$C$16, $D$11, 100%, $F$11)</f>
        <v>23.686599999999999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63978</v>
      </c>
      <c r="B750" s="8">
        <f>CHOOSE( CONTROL!$C$33, 22.8379, 22.8368) * CHOOSE(CONTROL!$C$16, $D$11, 100%, $F$11)</f>
        <v>22.837900000000001</v>
      </c>
      <c r="C750" s="8">
        <f>CHOOSE( CONTROL!$C$33, 22.843, 22.8419) * CHOOSE(CONTROL!$C$16, $D$11, 100%, $F$11)</f>
        <v>22.843</v>
      </c>
      <c r="D750" s="8">
        <f>CHOOSE( CONTROL!$C$33, 22.8455, 22.8444) * CHOOSE( CONTROL!$C$16, $D$11, 100%, $F$11)</f>
        <v>22.845500000000001</v>
      </c>
      <c r="E750" s="12">
        <f>CHOOSE( CONTROL!$C$33, 22.844, 22.8429) * CHOOSE( CONTROL!$C$16, $D$11, 100%, $F$11)</f>
        <v>22.844000000000001</v>
      </c>
      <c r="F750" s="4">
        <f>CHOOSE( CONTROL!$C$33, 23.498, 23.4969) * CHOOSE(CONTROL!$C$16, $D$11, 100%, $F$11)</f>
        <v>23.498000000000001</v>
      </c>
      <c r="G750" s="8">
        <f>CHOOSE( CONTROL!$C$33, 22.5921, 22.5911) * CHOOSE( CONTROL!$C$16, $D$11, 100%, $F$11)</f>
        <v>22.592099999999999</v>
      </c>
      <c r="H750" s="4">
        <f>CHOOSE( CONTROL!$C$33, 23.4695, 23.4684) * CHOOSE(CONTROL!$C$16, $D$11, 100%, $F$11)</f>
        <v>23.4695</v>
      </c>
      <c r="I750" s="8">
        <f>CHOOSE( CONTROL!$C$33, 22.3278, 22.3268) * CHOOSE(CONTROL!$C$16, $D$11, 100%, $F$11)</f>
        <v>22.3278</v>
      </c>
      <c r="J750" s="4">
        <f>CHOOSE( CONTROL!$C$33, 22.1554, 22.1544) * CHOOSE(CONTROL!$C$16, $D$11, 100%, $F$11)</f>
        <v>22.1554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64009</v>
      </c>
      <c r="B751" s="8">
        <f>CHOOSE( CONTROL!$C$33, 22.3519, 22.3508) * CHOOSE(CONTROL!$C$16, $D$11, 100%, $F$11)</f>
        <v>22.351900000000001</v>
      </c>
      <c r="C751" s="8">
        <f>CHOOSE( CONTROL!$C$33, 22.357, 22.3559) * CHOOSE(CONTROL!$C$16, $D$11, 100%, $F$11)</f>
        <v>22.356999999999999</v>
      </c>
      <c r="D751" s="8">
        <f>CHOOSE( CONTROL!$C$33, 22.3589, 22.3578) * CHOOSE( CONTROL!$C$16, $D$11, 100%, $F$11)</f>
        <v>22.358899999999998</v>
      </c>
      <c r="E751" s="12">
        <f>CHOOSE( CONTROL!$C$33, 22.3577, 22.3566) * CHOOSE( CONTROL!$C$16, $D$11, 100%, $F$11)</f>
        <v>22.357700000000001</v>
      </c>
      <c r="F751" s="4">
        <f>CHOOSE( CONTROL!$C$33, 23.0121, 23.011) * CHOOSE(CONTROL!$C$16, $D$11, 100%, $F$11)</f>
        <v>23.0121</v>
      </c>
      <c r="G751" s="8">
        <f>CHOOSE( CONTROL!$C$33, 22.1114, 22.1103) * CHOOSE( CONTROL!$C$16, $D$11, 100%, $F$11)</f>
        <v>22.1114</v>
      </c>
      <c r="H751" s="4">
        <f>CHOOSE( CONTROL!$C$33, 22.9892, 22.9881) * CHOOSE(CONTROL!$C$16, $D$11, 100%, $F$11)</f>
        <v>22.9892</v>
      </c>
      <c r="I751" s="8">
        <f>CHOOSE( CONTROL!$C$33, 21.8538, 21.8528) * CHOOSE(CONTROL!$C$16, $D$11, 100%, $F$11)</f>
        <v>21.8538</v>
      </c>
      <c r="J751" s="4">
        <f>CHOOSE( CONTROL!$C$33, 21.6838, 21.6827) * CHOOSE(CONTROL!$C$16, $D$11, 100%, $F$11)</f>
        <v>21.683800000000002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64039</v>
      </c>
      <c r="B752" s="8">
        <f>CHOOSE( CONTROL!$C$33, 22.6923, 22.6912) * CHOOSE(CONTROL!$C$16, $D$11, 100%, $F$11)</f>
        <v>22.692299999999999</v>
      </c>
      <c r="C752" s="8">
        <f>CHOOSE( CONTROL!$C$33, 22.6968, 22.6957) * CHOOSE(CONTROL!$C$16, $D$11, 100%, $F$11)</f>
        <v>22.6968</v>
      </c>
      <c r="D752" s="8">
        <f>CHOOSE( CONTROL!$C$33, 22.7211, 22.72) * CHOOSE( CONTROL!$C$16, $D$11, 100%, $F$11)</f>
        <v>22.7211</v>
      </c>
      <c r="E752" s="12">
        <f>CHOOSE( CONTROL!$C$33, 22.7126, 22.7115) * CHOOSE( CONTROL!$C$16, $D$11, 100%, $F$11)</f>
        <v>22.712599999999998</v>
      </c>
      <c r="F752" s="4">
        <f>CHOOSE( CONTROL!$C$33, 23.4212, 23.4201) * CHOOSE(CONTROL!$C$16, $D$11, 100%, $F$11)</f>
        <v>23.421199999999999</v>
      </c>
      <c r="G752" s="8">
        <f>CHOOSE( CONTROL!$C$33, 22.4567, 22.4556) * CHOOSE( CONTROL!$C$16, $D$11, 100%, $F$11)</f>
        <v>22.456700000000001</v>
      </c>
      <c r="H752" s="4">
        <f>CHOOSE( CONTROL!$C$33, 23.3935, 23.3925) * CHOOSE(CONTROL!$C$16, $D$11, 100%, $F$11)</f>
        <v>23.3935</v>
      </c>
      <c r="I752" s="8">
        <f>CHOOSE( CONTROL!$C$33, 22.1488, 22.1478) * CHOOSE(CONTROL!$C$16, $D$11, 100%, $F$11)</f>
        <v>22.148800000000001</v>
      </c>
      <c r="J752" s="4">
        <f>CHOOSE( CONTROL!$C$33, 22.0134, 22.0123) * CHOOSE(CONTROL!$C$16, $D$11, 100%, $F$11)</f>
        <v>22.013400000000001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1.2509999999999999</v>
      </c>
      <c r="Q752" s="9">
        <v>19.053000000000001</v>
      </c>
      <c r="R752" s="9"/>
      <c r="S752" s="11"/>
    </row>
    <row r="753" spans="1:19" ht="15.75">
      <c r="A753" s="13">
        <v>64070</v>
      </c>
      <c r="B753" s="8">
        <f>CHOOSE( CONTROL!$C$33, 23.2986, 23.2969) * CHOOSE(CONTROL!$C$16, $D$11, 100%, $F$11)</f>
        <v>23.2986</v>
      </c>
      <c r="C753" s="8">
        <f>CHOOSE( CONTROL!$C$33, 23.3065, 23.3049) * CHOOSE(CONTROL!$C$16, $D$11, 100%, $F$11)</f>
        <v>23.3065</v>
      </c>
      <c r="D753" s="8">
        <f>CHOOSE( CONTROL!$C$33, 23.3248, 23.3232) * CHOOSE( CONTROL!$C$16, $D$11, 100%, $F$11)</f>
        <v>23.3248</v>
      </c>
      <c r="E753" s="12">
        <f>CHOOSE( CONTROL!$C$33, 23.317, 23.3153) * CHOOSE( CONTROL!$C$16, $D$11, 100%, $F$11)</f>
        <v>23.317</v>
      </c>
      <c r="F753" s="4">
        <f>CHOOSE( CONTROL!$C$33, 24.0261, 24.0245) * CHOOSE(CONTROL!$C$16, $D$11, 100%, $F$11)</f>
        <v>24.0261</v>
      </c>
      <c r="G753" s="8">
        <f>CHOOSE( CONTROL!$C$33, 23.0544, 23.0528) * CHOOSE( CONTROL!$C$16, $D$11, 100%, $F$11)</f>
        <v>23.054400000000001</v>
      </c>
      <c r="H753" s="4">
        <f>CHOOSE( CONTROL!$C$33, 23.9914, 23.9898) * CHOOSE(CONTROL!$C$16, $D$11, 100%, $F$11)</f>
        <v>23.991399999999999</v>
      </c>
      <c r="I753" s="8">
        <f>CHOOSE( CONTROL!$C$33, 22.7356, 22.734) * CHOOSE(CONTROL!$C$16, $D$11, 100%, $F$11)</f>
        <v>22.735600000000002</v>
      </c>
      <c r="J753" s="4">
        <f>CHOOSE( CONTROL!$C$33, 22.6004, 22.5988) * CHOOSE(CONTROL!$C$16, $D$11, 100%, $F$11)</f>
        <v>22.6004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1.2927</v>
      </c>
      <c r="Q753" s="9">
        <v>19.688099999999999</v>
      </c>
      <c r="R753" s="9"/>
      <c r="S753" s="11"/>
    </row>
    <row r="754" spans="1:19" ht="15.75">
      <c r="A754" s="13">
        <v>64100</v>
      </c>
      <c r="B754" s="8">
        <f>CHOOSE( CONTROL!$C$33, 22.9242, 22.9225) * CHOOSE(CONTROL!$C$16, $D$11, 100%, $F$11)</f>
        <v>22.924199999999999</v>
      </c>
      <c r="C754" s="8">
        <f>CHOOSE( CONTROL!$C$33, 22.9322, 22.9305) * CHOOSE(CONTROL!$C$16, $D$11, 100%, $F$11)</f>
        <v>22.932200000000002</v>
      </c>
      <c r="D754" s="8">
        <f>CHOOSE( CONTROL!$C$33, 22.9507, 22.949) * CHOOSE( CONTROL!$C$16, $D$11, 100%, $F$11)</f>
        <v>22.950700000000001</v>
      </c>
      <c r="E754" s="12">
        <f>CHOOSE( CONTROL!$C$33, 22.9428, 22.9411) * CHOOSE( CONTROL!$C$16, $D$11, 100%, $F$11)</f>
        <v>22.942799999999998</v>
      </c>
      <c r="F754" s="4">
        <f>CHOOSE( CONTROL!$C$33, 23.6517, 23.6501) * CHOOSE(CONTROL!$C$16, $D$11, 100%, $F$11)</f>
        <v>23.651700000000002</v>
      </c>
      <c r="G754" s="8">
        <f>CHOOSE( CONTROL!$C$33, 22.6846, 22.683) * CHOOSE( CONTROL!$C$16, $D$11, 100%, $F$11)</f>
        <v>22.6846</v>
      </c>
      <c r="H754" s="4">
        <f>CHOOSE( CONTROL!$C$33, 23.6214, 23.6198) * CHOOSE(CONTROL!$C$16, $D$11, 100%, $F$11)</f>
        <v>23.621400000000001</v>
      </c>
      <c r="I754" s="8">
        <f>CHOOSE( CONTROL!$C$33, 22.3729, 22.3713) * CHOOSE(CONTROL!$C$16, $D$11, 100%, $F$11)</f>
        <v>22.372900000000001</v>
      </c>
      <c r="J754" s="4">
        <f>CHOOSE( CONTROL!$C$33, 22.2371, 22.2355) * CHOOSE(CONTROL!$C$16, $D$11, 100%, $F$11)</f>
        <v>22.237100000000002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1.2509999999999999</v>
      </c>
      <c r="Q754" s="9">
        <v>19.053000000000001</v>
      </c>
      <c r="R754" s="9"/>
      <c r="S754" s="11"/>
    </row>
    <row r="755" spans="1:19" ht="15.75">
      <c r="A755" s="13">
        <v>64131</v>
      </c>
      <c r="B755" s="8">
        <f>CHOOSE( CONTROL!$C$33, 23.9101, 23.9084) * CHOOSE(CONTROL!$C$16, $D$11, 100%, $F$11)</f>
        <v>23.9101</v>
      </c>
      <c r="C755" s="8">
        <f>CHOOSE( CONTROL!$C$33, 23.918, 23.9164) * CHOOSE(CONTROL!$C$16, $D$11, 100%, $F$11)</f>
        <v>23.917999999999999</v>
      </c>
      <c r="D755" s="8">
        <f>CHOOSE( CONTROL!$C$33, 23.9368, 23.9352) * CHOOSE( CONTROL!$C$16, $D$11, 100%, $F$11)</f>
        <v>23.936800000000002</v>
      </c>
      <c r="E755" s="12">
        <f>CHOOSE( CONTROL!$C$33, 23.9288, 23.9272) * CHOOSE( CONTROL!$C$16, $D$11, 100%, $F$11)</f>
        <v>23.928799999999999</v>
      </c>
      <c r="F755" s="4">
        <f>CHOOSE( CONTROL!$C$33, 24.6376, 24.636) * CHOOSE(CONTROL!$C$16, $D$11, 100%, $F$11)</f>
        <v>24.637599999999999</v>
      </c>
      <c r="G755" s="8">
        <f>CHOOSE( CONTROL!$C$33, 23.6592, 23.6575) * CHOOSE( CONTROL!$C$16, $D$11, 100%, $F$11)</f>
        <v>23.659199999999998</v>
      </c>
      <c r="H755" s="4">
        <f>CHOOSE( CONTROL!$C$33, 24.5957, 24.5941) * CHOOSE(CONTROL!$C$16, $D$11, 100%, $F$11)</f>
        <v>24.595700000000001</v>
      </c>
      <c r="I755" s="8">
        <f>CHOOSE( CONTROL!$C$33, 23.3311, 23.3294) * CHOOSE(CONTROL!$C$16, $D$11, 100%, $F$11)</f>
        <v>23.331099999999999</v>
      </c>
      <c r="J755" s="4">
        <f>CHOOSE( CONTROL!$C$33, 23.1939, 23.1923) * CHOOSE(CONTROL!$C$16, $D$11, 100%, $F$11)</f>
        <v>23.193899999999999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1.2927</v>
      </c>
      <c r="Q755" s="9">
        <v>19.688099999999999</v>
      </c>
      <c r="R755" s="9"/>
      <c r="S755" s="11"/>
    </row>
    <row r="756" spans="1:19" ht="15.75">
      <c r="A756" s="13">
        <v>64162</v>
      </c>
      <c r="B756" s="8">
        <f>CHOOSE( CONTROL!$C$33, 22.0654, 22.0637) * CHOOSE(CONTROL!$C$16, $D$11, 100%, $F$11)</f>
        <v>22.0654</v>
      </c>
      <c r="C756" s="8">
        <f>CHOOSE( CONTROL!$C$33, 22.0734, 22.0717) * CHOOSE(CONTROL!$C$16, $D$11, 100%, $F$11)</f>
        <v>22.073399999999999</v>
      </c>
      <c r="D756" s="8">
        <f>CHOOSE( CONTROL!$C$33, 22.0922, 22.0906) * CHOOSE( CONTROL!$C$16, $D$11, 100%, $F$11)</f>
        <v>22.092199999999998</v>
      </c>
      <c r="E756" s="12">
        <f>CHOOSE( CONTROL!$C$33, 22.0842, 22.0825) * CHOOSE( CONTROL!$C$16, $D$11, 100%, $F$11)</f>
        <v>22.084199999999999</v>
      </c>
      <c r="F756" s="4">
        <f>CHOOSE( CONTROL!$C$33, 22.7929, 22.7913) * CHOOSE(CONTROL!$C$16, $D$11, 100%, $F$11)</f>
        <v>22.792899999999999</v>
      </c>
      <c r="G756" s="8">
        <f>CHOOSE( CONTROL!$C$33, 21.8361, 21.8345) * CHOOSE( CONTROL!$C$16, $D$11, 100%, $F$11)</f>
        <v>21.836099999999998</v>
      </c>
      <c r="H756" s="4">
        <f>CHOOSE( CONTROL!$C$33, 22.7726, 22.771) * CHOOSE(CONTROL!$C$16, $D$11, 100%, $F$11)</f>
        <v>22.772600000000001</v>
      </c>
      <c r="I756" s="8">
        <f>CHOOSE( CONTROL!$C$33, 21.5401, 21.5385) * CHOOSE(CONTROL!$C$16, $D$11, 100%, $F$11)</f>
        <v>21.540099999999999</v>
      </c>
      <c r="J756" s="4">
        <f>CHOOSE( CONTROL!$C$33, 21.4036, 21.402) * CHOOSE(CONTROL!$C$16, $D$11, 100%, $F$11)</f>
        <v>21.403600000000001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1.2927</v>
      </c>
      <c r="Q756" s="9">
        <v>19.688099999999999</v>
      </c>
      <c r="R756" s="9"/>
      <c r="S756" s="11"/>
    </row>
    <row r="757" spans="1:19" ht="15.75">
      <c r="A757" s="13">
        <v>64192</v>
      </c>
      <c r="B757" s="8">
        <f>CHOOSE( CONTROL!$C$33, 21.6034, 21.6018) * CHOOSE(CONTROL!$C$16, $D$11, 100%, $F$11)</f>
        <v>21.603400000000001</v>
      </c>
      <c r="C757" s="8">
        <f>CHOOSE( CONTROL!$C$33, 21.6114, 21.6098) * CHOOSE(CONTROL!$C$16, $D$11, 100%, $F$11)</f>
        <v>21.6114</v>
      </c>
      <c r="D757" s="8">
        <f>CHOOSE( CONTROL!$C$33, 21.6302, 21.6285) * CHOOSE( CONTROL!$C$16, $D$11, 100%, $F$11)</f>
        <v>21.630199999999999</v>
      </c>
      <c r="E757" s="12">
        <f>CHOOSE( CONTROL!$C$33, 21.6222, 21.6205) * CHOOSE( CONTROL!$C$16, $D$11, 100%, $F$11)</f>
        <v>21.622199999999999</v>
      </c>
      <c r="F757" s="4">
        <f>CHOOSE( CONTROL!$C$33, 22.331, 22.3293) * CHOOSE(CONTROL!$C$16, $D$11, 100%, $F$11)</f>
        <v>22.331</v>
      </c>
      <c r="G757" s="8">
        <f>CHOOSE( CONTROL!$C$33, 21.3795, 21.3779) * CHOOSE( CONTROL!$C$16, $D$11, 100%, $F$11)</f>
        <v>21.3795</v>
      </c>
      <c r="H757" s="4">
        <f>CHOOSE( CONTROL!$C$33, 22.3161, 22.3145) * CHOOSE(CONTROL!$C$16, $D$11, 100%, $F$11)</f>
        <v>22.316099999999999</v>
      </c>
      <c r="I757" s="8">
        <f>CHOOSE( CONTROL!$C$33, 21.0912, 21.0896) * CHOOSE(CONTROL!$C$16, $D$11, 100%, $F$11)</f>
        <v>21.091200000000001</v>
      </c>
      <c r="J757" s="4">
        <f>CHOOSE( CONTROL!$C$33, 20.9553, 20.9537) * CHOOSE(CONTROL!$C$16, $D$11, 100%, $F$11)</f>
        <v>20.955300000000001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1.2509999999999999</v>
      </c>
      <c r="Q757" s="9">
        <v>19.053000000000001</v>
      </c>
      <c r="R757" s="9"/>
      <c r="S757" s="11"/>
    </row>
    <row r="758" spans="1:19" ht="15.75">
      <c r="A758" s="13">
        <v>64223</v>
      </c>
      <c r="B758" s="8">
        <f>CHOOSE( CONTROL!$C$33, 22.5603, 22.5592) * CHOOSE(CONTROL!$C$16, $D$11, 100%, $F$11)</f>
        <v>22.560300000000002</v>
      </c>
      <c r="C758" s="8">
        <f>CHOOSE( CONTROL!$C$33, 22.5656, 22.5645) * CHOOSE(CONTROL!$C$16, $D$11, 100%, $F$11)</f>
        <v>22.5656</v>
      </c>
      <c r="D758" s="8">
        <f>CHOOSE( CONTROL!$C$33, 22.59, 22.5889) * CHOOSE( CONTROL!$C$16, $D$11, 100%, $F$11)</f>
        <v>22.59</v>
      </c>
      <c r="E758" s="12">
        <f>CHOOSE( CONTROL!$C$33, 22.5814, 22.5803) * CHOOSE( CONTROL!$C$16, $D$11, 100%, $F$11)</f>
        <v>22.581399999999999</v>
      </c>
      <c r="F758" s="4">
        <f>CHOOSE( CONTROL!$C$33, 23.2896, 23.2885) * CHOOSE(CONTROL!$C$16, $D$11, 100%, $F$11)</f>
        <v>23.2896</v>
      </c>
      <c r="G758" s="8">
        <f>CHOOSE( CONTROL!$C$33, 22.327, 22.326) * CHOOSE( CONTROL!$C$16, $D$11, 100%, $F$11)</f>
        <v>22.327000000000002</v>
      </c>
      <c r="H758" s="4">
        <f>CHOOSE( CONTROL!$C$33, 23.2635, 23.2624) * CHOOSE(CONTROL!$C$16, $D$11, 100%, $F$11)</f>
        <v>23.263500000000001</v>
      </c>
      <c r="I758" s="8">
        <f>CHOOSE( CONTROL!$C$33, 22.0229, 22.0218) * CHOOSE(CONTROL!$C$16, $D$11, 100%, $F$11)</f>
        <v>22.0229</v>
      </c>
      <c r="J758" s="4">
        <f>CHOOSE( CONTROL!$C$33, 21.8856, 21.8845) * CHOOSE(CONTROL!$C$16, $D$11, 100%, $F$11)</f>
        <v>21.8856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1.2927</v>
      </c>
      <c r="Q758" s="9">
        <v>19.688099999999999</v>
      </c>
      <c r="R758" s="9"/>
      <c r="S758" s="11"/>
    </row>
    <row r="759" spans="1:19" ht="15.75">
      <c r="A759" s="13">
        <v>64253</v>
      </c>
      <c r="B759" s="8">
        <f>CHOOSE( CONTROL!$C$33, 24.3302, 24.3292) * CHOOSE(CONTROL!$C$16, $D$11, 100%, $F$11)</f>
        <v>24.330200000000001</v>
      </c>
      <c r="C759" s="8">
        <f>CHOOSE( CONTROL!$C$33, 24.3353, 24.3342) * CHOOSE(CONTROL!$C$16, $D$11, 100%, $F$11)</f>
        <v>24.3353</v>
      </c>
      <c r="D759" s="8">
        <f>CHOOSE( CONTROL!$C$33, 24.3257, 24.3246) * CHOOSE( CONTROL!$C$16, $D$11, 100%, $F$11)</f>
        <v>24.325700000000001</v>
      </c>
      <c r="E759" s="12">
        <f>CHOOSE( CONTROL!$C$33, 24.3287, 24.3276) * CHOOSE( CONTROL!$C$16, $D$11, 100%, $F$11)</f>
        <v>24.328700000000001</v>
      </c>
      <c r="F759" s="4">
        <f>CHOOSE( CONTROL!$C$33, 24.9904, 24.9893) * CHOOSE(CONTROL!$C$16, $D$11, 100%, $F$11)</f>
        <v>24.990400000000001</v>
      </c>
      <c r="G759" s="8">
        <f>CHOOSE( CONTROL!$C$33, 24.0632, 24.0621) * CHOOSE( CONTROL!$C$16, $D$11, 100%, $F$11)</f>
        <v>24.063199999999998</v>
      </c>
      <c r="H759" s="4">
        <f>CHOOSE( CONTROL!$C$33, 24.9443, 24.9433) * CHOOSE(CONTROL!$C$16, $D$11, 100%, $F$11)</f>
        <v>24.944299999999998</v>
      </c>
      <c r="I759" s="8">
        <f>CHOOSE( CONTROL!$C$33, 23.8012, 23.8002) * CHOOSE(CONTROL!$C$16, $D$11, 100%, $F$11)</f>
        <v>23.801200000000001</v>
      </c>
      <c r="J759" s="4">
        <f>CHOOSE( CONTROL!$C$33, 23.6037, 23.6027) * CHOOSE(CONTROL!$C$16, $D$11, 100%, $F$11)</f>
        <v>23.6037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64284</v>
      </c>
      <c r="B760" s="8">
        <f>CHOOSE( CONTROL!$C$33, 24.286, 24.2849) * CHOOSE(CONTROL!$C$16, $D$11, 100%, $F$11)</f>
        <v>24.286000000000001</v>
      </c>
      <c r="C760" s="8">
        <f>CHOOSE( CONTROL!$C$33, 24.2911, 24.29) * CHOOSE(CONTROL!$C$16, $D$11, 100%, $F$11)</f>
        <v>24.2911</v>
      </c>
      <c r="D760" s="8">
        <f>CHOOSE( CONTROL!$C$33, 24.2829, 24.2818) * CHOOSE( CONTROL!$C$16, $D$11, 100%, $F$11)</f>
        <v>24.282900000000001</v>
      </c>
      <c r="E760" s="12">
        <f>CHOOSE( CONTROL!$C$33, 24.2854, 24.2843) * CHOOSE( CONTROL!$C$16, $D$11, 100%, $F$11)</f>
        <v>24.285399999999999</v>
      </c>
      <c r="F760" s="4">
        <f>CHOOSE( CONTROL!$C$33, 24.9461, 24.945) * CHOOSE(CONTROL!$C$16, $D$11, 100%, $F$11)</f>
        <v>24.946100000000001</v>
      </c>
      <c r="G760" s="8">
        <f>CHOOSE( CONTROL!$C$33, 24.0205, 24.0195) * CHOOSE( CONTROL!$C$16, $D$11, 100%, $F$11)</f>
        <v>24.020499999999998</v>
      </c>
      <c r="H760" s="4">
        <f>CHOOSE( CONTROL!$C$33, 24.9006, 24.8996) * CHOOSE(CONTROL!$C$16, $D$11, 100%, $F$11)</f>
        <v>24.900600000000001</v>
      </c>
      <c r="I760" s="8">
        <f>CHOOSE( CONTROL!$C$33, 23.7627, 23.7617) * CHOOSE(CONTROL!$C$16, $D$11, 100%, $F$11)</f>
        <v>23.762699999999999</v>
      </c>
      <c r="J760" s="4">
        <f>CHOOSE( CONTROL!$C$33, 23.5608, 23.5598) * CHOOSE(CONTROL!$C$16, $D$11, 100%, $F$11)</f>
        <v>23.5608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64315</v>
      </c>
      <c r="B761" s="8">
        <f>CHOOSE( CONTROL!$C$33, 25.0021, 25.001) * CHOOSE(CONTROL!$C$16, $D$11, 100%, $F$11)</f>
        <v>25.002099999999999</v>
      </c>
      <c r="C761" s="8">
        <f>CHOOSE( CONTROL!$C$33, 25.0071, 25.0061) * CHOOSE(CONTROL!$C$16, $D$11, 100%, $F$11)</f>
        <v>25.007100000000001</v>
      </c>
      <c r="D761" s="8">
        <f>CHOOSE( CONTROL!$C$33, 25.0098, 25.0087) * CHOOSE( CONTROL!$C$16, $D$11, 100%, $F$11)</f>
        <v>25.009799999999998</v>
      </c>
      <c r="E761" s="12">
        <f>CHOOSE( CONTROL!$C$33, 25.0083, 25.0072) * CHOOSE( CONTROL!$C$16, $D$11, 100%, $F$11)</f>
        <v>25.008299999999998</v>
      </c>
      <c r="F761" s="4">
        <f>CHOOSE( CONTROL!$C$33, 25.6622, 25.6611) * CHOOSE(CONTROL!$C$16, $D$11, 100%, $F$11)</f>
        <v>25.662199999999999</v>
      </c>
      <c r="G761" s="8">
        <f>CHOOSE( CONTROL!$C$33, 24.731, 24.73) * CHOOSE( CONTROL!$C$16, $D$11, 100%, $F$11)</f>
        <v>24.731000000000002</v>
      </c>
      <c r="H761" s="4">
        <f>CHOOSE( CONTROL!$C$33, 25.6083, 25.6072) * CHOOSE(CONTROL!$C$16, $D$11, 100%, $F$11)</f>
        <v>25.6083</v>
      </c>
      <c r="I761" s="8">
        <f>CHOOSE( CONTROL!$C$33, 24.4295, 24.4284) * CHOOSE(CONTROL!$C$16, $D$11, 100%, $F$11)</f>
        <v>24.429500000000001</v>
      </c>
      <c r="J761" s="4">
        <f>CHOOSE( CONTROL!$C$33, 24.2557, 24.2547) * CHOOSE(CONTROL!$C$16, $D$11, 100%, $F$11)</f>
        <v>24.255700000000001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64344</v>
      </c>
      <c r="B762" s="8">
        <f>CHOOSE( CONTROL!$C$33, 23.3864, 23.3853) * CHOOSE(CONTROL!$C$16, $D$11, 100%, $F$11)</f>
        <v>23.386399999999998</v>
      </c>
      <c r="C762" s="8">
        <f>CHOOSE( CONTROL!$C$33, 23.3915, 23.3904) * CHOOSE(CONTROL!$C$16, $D$11, 100%, $F$11)</f>
        <v>23.391500000000001</v>
      </c>
      <c r="D762" s="8">
        <f>CHOOSE( CONTROL!$C$33, 23.394, 23.3929) * CHOOSE( CONTROL!$C$16, $D$11, 100%, $F$11)</f>
        <v>23.393999999999998</v>
      </c>
      <c r="E762" s="12">
        <f>CHOOSE( CONTROL!$C$33, 23.3925, 23.3914) * CHOOSE( CONTROL!$C$16, $D$11, 100%, $F$11)</f>
        <v>23.392499999999998</v>
      </c>
      <c r="F762" s="4">
        <f>CHOOSE( CONTROL!$C$33, 24.0465, 24.0454) * CHOOSE(CONTROL!$C$16, $D$11, 100%, $F$11)</f>
        <v>24.046500000000002</v>
      </c>
      <c r="G762" s="8">
        <f>CHOOSE( CONTROL!$C$33, 23.1342, 23.1331) * CHOOSE( CONTROL!$C$16, $D$11, 100%, $F$11)</f>
        <v>23.1342</v>
      </c>
      <c r="H762" s="4">
        <f>CHOOSE( CONTROL!$C$33, 24.0115, 24.0105) * CHOOSE(CONTROL!$C$16, $D$11, 100%, $F$11)</f>
        <v>24.011500000000002</v>
      </c>
      <c r="I762" s="8">
        <f>CHOOSE( CONTROL!$C$33, 22.8604, 22.8594) * CHOOSE(CONTROL!$C$16, $D$11, 100%, $F$11)</f>
        <v>22.860399999999998</v>
      </c>
      <c r="J762" s="4">
        <f>CHOOSE( CONTROL!$C$33, 22.6877, 22.6867) * CHOOSE(CONTROL!$C$16, $D$11, 100%, $F$11)</f>
        <v>22.6877</v>
      </c>
      <c r="K762" s="4"/>
      <c r="L762" s="9">
        <v>27.415299999999998</v>
      </c>
      <c r="M762" s="9">
        <v>11.285299999999999</v>
      </c>
      <c r="N762" s="9">
        <v>4.6254999999999997</v>
      </c>
      <c r="O762" s="9">
        <v>0.34989999999999999</v>
      </c>
      <c r="P762" s="9">
        <v>1.2093</v>
      </c>
      <c r="Q762" s="9">
        <v>18.417899999999999</v>
      </c>
      <c r="R762" s="9"/>
      <c r="S762" s="11"/>
    </row>
    <row r="763" spans="1:19" ht="15.75">
      <c r="A763" s="13">
        <v>64375</v>
      </c>
      <c r="B763" s="8">
        <f>CHOOSE( CONTROL!$C$33, 22.8887, 22.8877) * CHOOSE(CONTROL!$C$16, $D$11, 100%, $F$11)</f>
        <v>22.8887</v>
      </c>
      <c r="C763" s="8">
        <f>CHOOSE( CONTROL!$C$33, 22.8938, 22.8927) * CHOOSE(CONTROL!$C$16, $D$11, 100%, $F$11)</f>
        <v>22.893799999999999</v>
      </c>
      <c r="D763" s="8">
        <f>CHOOSE( CONTROL!$C$33, 22.8957, 22.8946) * CHOOSE( CONTROL!$C$16, $D$11, 100%, $F$11)</f>
        <v>22.895700000000001</v>
      </c>
      <c r="E763" s="12">
        <f>CHOOSE( CONTROL!$C$33, 22.8945, 22.8934) * CHOOSE( CONTROL!$C$16, $D$11, 100%, $F$11)</f>
        <v>22.894500000000001</v>
      </c>
      <c r="F763" s="4">
        <f>CHOOSE( CONTROL!$C$33, 23.5489, 23.5478) * CHOOSE(CONTROL!$C$16, $D$11, 100%, $F$11)</f>
        <v>23.5489</v>
      </c>
      <c r="G763" s="8">
        <f>CHOOSE( CONTROL!$C$33, 22.6419, 22.6408) * CHOOSE( CONTROL!$C$16, $D$11, 100%, $F$11)</f>
        <v>22.6419</v>
      </c>
      <c r="H763" s="4">
        <f>CHOOSE( CONTROL!$C$33, 23.5197, 23.5187) * CHOOSE(CONTROL!$C$16, $D$11, 100%, $F$11)</f>
        <v>23.5197</v>
      </c>
      <c r="I763" s="8">
        <f>CHOOSE( CONTROL!$C$33, 22.3751, 22.374) * CHOOSE(CONTROL!$C$16, $D$11, 100%, $F$11)</f>
        <v>22.3751</v>
      </c>
      <c r="J763" s="4">
        <f>CHOOSE( CONTROL!$C$33, 22.2048, 22.2037) * CHOOSE(CONTROL!$C$16, $D$11, 100%, $F$11)</f>
        <v>22.204799999999999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64405</v>
      </c>
      <c r="B764" s="8">
        <f>CHOOSE( CONTROL!$C$33, 23.2372, 23.2362) * CHOOSE(CONTROL!$C$16, $D$11, 100%, $F$11)</f>
        <v>23.237200000000001</v>
      </c>
      <c r="C764" s="8">
        <f>CHOOSE( CONTROL!$C$33, 23.2418, 23.2407) * CHOOSE(CONTROL!$C$16, $D$11, 100%, $F$11)</f>
        <v>23.241800000000001</v>
      </c>
      <c r="D764" s="8">
        <f>CHOOSE( CONTROL!$C$33, 23.2661, 23.265) * CHOOSE( CONTROL!$C$16, $D$11, 100%, $F$11)</f>
        <v>23.266100000000002</v>
      </c>
      <c r="E764" s="12">
        <f>CHOOSE( CONTROL!$C$33, 23.2575, 23.2565) * CHOOSE( CONTROL!$C$16, $D$11, 100%, $F$11)</f>
        <v>23.2575</v>
      </c>
      <c r="F764" s="4">
        <f>CHOOSE( CONTROL!$C$33, 23.9662, 23.9651) * CHOOSE(CONTROL!$C$16, $D$11, 100%, $F$11)</f>
        <v>23.966200000000001</v>
      </c>
      <c r="G764" s="8">
        <f>CHOOSE( CONTROL!$C$33, 22.9953, 22.9942) * CHOOSE( CONTROL!$C$16, $D$11, 100%, $F$11)</f>
        <v>22.9953</v>
      </c>
      <c r="H764" s="4">
        <f>CHOOSE( CONTROL!$C$33, 23.9321, 23.9311) * CHOOSE(CONTROL!$C$16, $D$11, 100%, $F$11)</f>
        <v>23.932099999999998</v>
      </c>
      <c r="I764" s="8">
        <f>CHOOSE( CONTROL!$C$33, 22.678, 22.6769) * CHOOSE(CONTROL!$C$16, $D$11, 100%, $F$11)</f>
        <v>22.678000000000001</v>
      </c>
      <c r="J764" s="4">
        <f>CHOOSE( CONTROL!$C$33, 22.5423, 22.5412) * CHOOSE(CONTROL!$C$16, $D$11, 100%, $F$11)</f>
        <v>22.542300000000001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1.2509999999999999</v>
      </c>
      <c r="Q764" s="9">
        <v>19.053000000000001</v>
      </c>
      <c r="R764" s="9"/>
      <c r="S764" s="11"/>
    </row>
    <row r="765" spans="1:19" ht="15.75">
      <c r="A765" s="13">
        <v>64436</v>
      </c>
      <c r="B765" s="8">
        <f>CHOOSE( CONTROL!$C$33, 23.8581, 23.8564) * CHOOSE(CONTROL!$C$16, $D$11, 100%, $F$11)</f>
        <v>23.8581</v>
      </c>
      <c r="C765" s="8">
        <f>CHOOSE( CONTROL!$C$33, 23.866, 23.8644) * CHOOSE(CONTROL!$C$16, $D$11, 100%, $F$11)</f>
        <v>23.866</v>
      </c>
      <c r="D765" s="8">
        <f>CHOOSE( CONTROL!$C$33, 23.8843, 23.8827) * CHOOSE( CONTROL!$C$16, $D$11, 100%, $F$11)</f>
        <v>23.8843</v>
      </c>
      <c r="E765" s="12">
        <f>CHOOSE( CONTROL!$C$33, 23.8765, 23.8748) * CHOOSE( CONTROL!$C$16, $D$11, 100%, $F$11)</f>
        <v>23.8765</v>
      </c>
      <c r="F765" s="4">
        <f>CHOOSE( CONTROL!$C$33, 24.5856, 24.584) * CHOOSE(CONTROL!$C$16, $D$11, 100%, $F$11)</f>
        <v>24.585599999999999</v>
      </c>
      <c r="G765" s="8">
        <f>CHOOSE( CONTROL!$C$33, 23.6074, 23.6057) * CHOOSE( CONTROL!$C$16, $D$11, 100%, $F$11)</f>
        <v>23.607399999999998</v>
      </c>
      <c r="H765" s="4">
        <f>CHOOSE( CONTROL!$C$33, 24.5443, 24.5427) * CHOOSE(CONTROL!$C$16, $D$11, 100%, $F$11)</f>
        <v>24.5443</v>
      </c>
      <c r="I765" s="8">
        <f>CHOOSE( CONTROL!$C$33, 23.2789, 23.2772) * CHOOSE(CONTROL!$C$16, $D$11, 100%, $F$11)</f>
        <v>23.2789</v>
      </c>
      <c r="J765" s="4">
        <f>CHOOSE( CONTROL!$C$33, 23.1434, 23.1418) * CHOOSE(CONTROL!$C$16, $D$11, 100%, $F$11)</f>
        <v>23.1434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1.2927</v>
      </c>
      <c r="Q765" s="9">
        <v>19.688099999999999</v>
      </c>
      <c r="R765" s="9"/>
      <c r="S765" s="11"/>
    </row>
    <row r="766" spans="1:19" ht="15.75">
      <c r="A766" s="13">
        <v>64466</v>
      </c>
      <c r="B766" s="8">
        <f>CHOOSE( CONTROL!$C$33, 23.4747, 23.473) * CHOOSE(CONTROL!$C$16, $D$11, 100%, $F$11)</f>
        <v>23.474699999999999</v>
      </c>
      <c r="C766" s="8">
        <f>CHOOSE( CONTROL!$C$33, 23.4827, 23.481) * CHOOSE(CONTROL!$C$16, $D$11, 100%, $F$11)</f>
        <v>23.482700000000001</v>
      </c>
      <c r="D766" s="8">
        <f>CHOOSE( CONTROL!$C$33, 23.5012, 23.4996) * CHOOSE( CONTROL!$C$16, $D$11, 100%, $F$11)</f>
        <v>23.501200000000001</v>
      </c>
      <c r="E766" s="12">
        <f>CHOOSE( CONTROL!$C$33, 23.4933, 23.4916) * CHOOSE( CONTROL!$C$16, $D$11, 100%, $F$11)</f>
        <v>23.493300000000001</v>
      </c>
      <c r="F766" s="4">
        <f>CHOOSE( CONTROL!$C$33, 24.2022, 24.2006) * CHOOSE(CONTROL!$C$16, $D$11, 100%, $F$11)</f>
        <v>24.202200000000001</v>
      </c>
      <c r="G766" s="8">
        <f>CHOOSE( CONTROL!$C$33, 23.2287, 23.227) * CHOOSE( CONTROL!$C$16, $D$11, 100%, $F$11)</f>
        <v>23.2287</v>
      </c>
      <c r="H766" s="4">
        <f>CHOOSE( CONTROL!$C$33, 24.1655, 24.1638) * CHOOSE(CONTROL!$C$16, $D$11, 100%, $F$11)</f>
        <v>24.165500000000002</v>
      </c>
      <c r="I766" s="8">
        <f>CHOOSE( CONTROL!$C$33, 22.9074, 22.9058) * CHOOSE(CONTROL!$C$16, $D$11, 100%, $F$11)</f>
        <v>22.907399999999999</v>
      </c>
      <c r="J766" s="4">
        <f>CHOOSE( CONTROL!$C$33, 22.7714, 22.7698) * CHOOSE(CONTROL!$C$16, $D$11, 100%, $F$11)</f>
        <v>22.7714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1.2509999999999999</v>
      </c>
      <c r="Q766" s="9">
        <v>19.053000000000001</v>
      </c>
      <c r="R766" s="9"/>
      <c r="S766" s="11"/>
    </row>
    <row r="767" spans="1:19" ht="15.75">
      <c r="A767" s="13">
        <v>64497</v>
      </c>
      <c r="B767" s="8">
        <f>CHOOSE( CONTROL!$C$33, 24.4843, 24.4826) * CHOOSE(CONTROL!$C$16, $D$11, 100%, $F$11)</f>
        <v>24.484300000000001</v>
      </c>
      <c r="C767" s="8">
        <f>CHOOSE( CONTROL!$C$33, 24.4922, 24.4906) * CHOOSE(CONTROL!$C$16, $D$11, 100%, $F$11)</f>
        <v>24.4922</v>
      </c>
      <c r="D767" s="8">
        <f>CHOOSE( CONTROL!$C$33, 24.511, 24.5094) * CHOOSE( CONTROL!$C$16, $D$11, 100%, $F$11)</f>
        <v>24.510999999999999</v>
      </c>
      <c r="E767" s="12">
        <f>CHOOSE( CONTROL!$C$33, 24.503, 24.5014) * CHOOSE( CONTROL!$C$16, $D$11, 100%, $F$11)</f>
        <v>24.503</v>
      </c>
      <c r="F767" s="4">
        <f>CHOOSE( CONTROL!$C$33, 25.2118, 25.2102) * CHOOSE(CONTROL!$C$16, $D$11, 100%, $F$11)</f>
        <v>25.2118</v>
      </c>
      <c r="G767" s="8">
        <f>CHOOSE( CONTROL!$C$33, 24.2266, 24.225) * CHOOSE( CONTROL!$C$16, $D$11, 100%, $F$11)</f>
        <v>24.226600000000001</v>
      </c>
      <c r="H767" s="4">
        <f>CHOOSE( CONTROL!$C$33, 25.1632, 25.1616) * CHOOSE(CONTROL!$C$16, $D$11, 100%, $F$11)</f>
        <v>25.1632</v>
      </c>
      <c r="I767" s="8">
        <f>CHOOSE( CONTROL!$C$33, 23.8886, 23.887) * CHOOSE(CONTROL!$C$16, $D$11, 100%, $F$11)</f>
        <v>23.8886</v>
      </c>
      <c r="J767" s="4">
        <f>CHOOSE( CONTROL!$C$33, 23.7512, 23.7495) * CHOOSE(CONTROL!$C$16, $D$11, 100%, $F$11)</f>
        <v>23.751200000000001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1.2927</v>
      </c>
      <c r="Q767" s="9">
        <v>19.688099999999999</v>
      </c>
      <c r="R767" s="9"/>
      <c r="S767" s="11"/>
    </row>
    <row r="768" spans="1:19" ht="15.75">
      <c r="A768" s="13">
        <v>64528</v>
      </c>
      <c r="B768" s="8">
        <f>CHOOSE( CONTROL!$C$33, 22.5952, 22.5936) * CHOOSE(CONTROL!$C$16, $D$11, 100%, $F$11)</f>
        <v>22.595199999999998</v>
      </c>
      <c r="C768" s="8">
        <f>CHOOSE( CONTROL!$C$33, 22.6032, 22.6016) * CHOOSE(CONTROL!$C$16, $D$11, 100%, $F$11)</f>
        <v>22.603200000000001</v>
      </c>
      <c r="D768" s="8">
        <f>CHOOSE( CONTROL!$C$33, 22.6221, 22.6204) * CHOOSE( CONTROL!$C$16, $D$11, 100%, $F$11)</f>
        <v>22.6221</v>
      </c>
      <c r="E768" s="12">
        <f>CHOOSE( CONTROL!$C$33, 22.614, 22.6124) * CHOOSE( CONTROL!$C$16, $D$11, 100%, $F$11)</f>
        <v>22.614000000000001</v>
      </c>
      <c r="F768" s="4">
        <f>CHOOSE( CONTROL!$C$33, 23.3228, 23.3211) * CHOOSE(CONTROL!$C$16, $D$11, 100%, $F$11)</f>
        <v>23.322800000000001</v>
      </c>
      <c r="G768" s="8">
        <f>CHOOSE( CONTROL!$C$33, 22.3598, 22.3582) * CHOOSE( CONTROL!$C$16, $D$11, 100%, $F$11)</f>
        <v>22.3598</v>
      </c>
      <c r="H768" s="4">
        <f>CHOOSE( CONTROL!$C$33, 23.2963, 23.2947) * CHOOSE(CONTROL!$C$16, $D$11, 100%, $F$11)</f>
        <v>23.296299999999999</v>
      </c>
      <c r="I768" s="8">
        <f>CHOOSE( CONTROL!$C$33, 22.0546, 22.053) * CHOOSE(CONTROL!$C$16, $D$11, 100%, $F$11)</f>
        <v>22.054600000000001</v>
      </c>
      <c r="J768" s="4">
        <f>CHOOSE( CONTROL!$C$33, 21.9179, 21.9163) * CHOOSE(CONTROL!$C$16, $D$11, 100%, $F$11)</f>
        <v>21.917899999999999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1.2927</v>
      </c>
      <c r="Q768" s="9">
        <v>19.688099999999999</v>
      </c>
      <c r="R768" s="9"/>
      <c r="S768" s="11"/>
    </row>
    <row r="769" spans="1:19" ht="15.75">
      <c r="A769" s="13">
        <v>64558</v>
      </c>
      <c r="B769" s="8">
        <f>CHOOSE( CONTROL!$C$33, 22.1222, 22.1206) * CHOOSE(CONTROL!$C$16, $D$11, 100%, $F$11)</f>
        <v>22.122199999999999</v>
      </c>
      <c r="C769" s="8">
        <f>CHOOSE( CONTROL!$C$33, 22.1302, 22.1285) * CHOOSE(CONTROL!$C$16, $D$11, 100%, $F$11)</f>
        <v>22.130199999999999</v>
      </c>
      <c r="D769" s="8">
        <f>CHOOSE( CONTROL!$C$33, 22.1489, 22.1473) * CHOOSE( CONTROL!$C$16, $D$11, 100%, $F$11)</f>
        <v>22.148900000000001</v>
      </c>
      <c r="E769" s="12">
        <f>CHOOSE( CONTROL!$C$33, 22.1409, 22.1393) * CHOOSE( CONTROL!$C$16, $D$11, 100%, $F$11)</f>
        <v>22.140899999999998</v>
      </c>
      <c r="F769" s="4">
        <f>CHOOSE( CONTROL!$C$33, 22.8498, 22.8481) * CHOOSE(CONTROL!$C$16, $D$11, 100%, $F$11)</f>
        <v>22.849799999999998</v>
      </c>
      <c r="G769" s="8">
        <f>CHOOSE( CONTROL!$C$33, 21.8922, 21.8906) * CHOOSE( CONTROL!$C$16, $D$11, 100%, $F$11)</f>
        <v>21.892199999999999</v>
      </c>
      <c r="H769" s="4">
        <f>CHOOSE( CONTROL!$C$33, 22.8288, 22.8272) * CHOOSE(CONTROL!$C$16, $D$11, 100%, $F$11)</f>
        <v>22.828800000000001</v>
      </c>
      <c r="I769" s="8">
        <f>CHOOSE( CONTROL!$C$33, 21.595, 21.5933) * CHOOSE(CONTROL!$C$16, $D$11, 100%, $F$11)</f>
        <v>21.594999999999999</v>
      </c>
      <c r="J769" s="4">
        <f>CHOOSE( CONTROL!$C$33, 21.4588, 21.4572) * CHOOSE(CONTROL!$C$16, $D$11, 100%, $F$11)</f>
        <v>21.4588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1.2509999999999999</v>
      </c>
      <c r="Q769" s="9">
        <v>19.053000000000001</v>
      </c>
      <c r="R769" s="9"/>
      <c r="S769" s="11"/>
    </row>
    <row r="770" spans="1:19" ht="15.75">
      <c r="A770" s="13">
        <v>64589</v>
      </c>
      <c r="B770" s="8">
        <f>CHOOSE( CONTROL!$C$33, 23.1021, 23.101) * CHOOSE(CONTROL!$C$16, $D$11, 100%, $F$11)</f>
        <v>23.1021</v>
      </c>
      <c r="C770" s="8">
        <f>CHOOSE( CONTROL!$C$33, 23.1074, 23.1063) * CHOOSE(CONTROL!$C$16, $D$11, 100%, $F$11)</f>
        <v>23.107399999999998</v>
      </c>
      <c r="D770" s="8">
        <f>CHOOSE( CONTROL!$C$33, 23.1318, 23.1308) * CHOOSE( CONTROL!$C$16, $D$11, 100%, $F$11)</f>
        <v>23.131799999999998</v>
      </c>
      <c r="E770" s="12">
        <f>CHOOSE( CONTROL!$C$33, 23.1232, 23.1221) * CHOOSE( CONTROL!$C$16, $D$11, 100%, $F$11)</f>
        <v>23.123200000000001</v>
      </c>
      <c r="F770" s="4">
        <f>CHOOSE( CONTROL!$C$33, 23.8314, 23.8303) * CHOOSE(CONTROL!$C$16, $D$11, 100%, $F$11)</f>
        <v>23.831399999999999</v>
      </c>
      <c r="G770" s="8">
        <f>CHOOSE( CONTROL!$C$33, 22.8625, 22.8614) * CHOOSE( CONTROL!$C$16, $D$11, 100%, $F$11)</f>
        <v>22.862500000000001</v>
      </c>
      <c r="H770" s="4">
        <f>CHOOSE( CONTROL!$C$33, 23.7989, 23.7979) * CHOOSE(CONTROL!$C$16, $D$11, 100%, $F$11)</f>
        <v>23.7989</v>
      </c>
      <c r="I770" s="8">
        <f>CHOOSE( CONTROL!$C$33, 22.549, 22.5479) * CHOOSE(CONTROL!$C$16, $D$11, 100%, $F$11)</f>
        <v>22.548999999999999</v>
      </c>
      <c r="J770" s="4">
        <f>CHOOSE( CONTROL!$C$33, 22.4114, 22.4104) * CHOOSE(CONTROL!$C$16, $D$11, 100%, $F$11)</f>
        <v>22.4114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1.2927</v>
      </c>
      <c r="Q770" s="9">
        <v>19.688099999999999</v>
      </c>
      <c r="R770" s="9"/>
      <c r="S770" s="11"/>
    </row>
    <row r="771" spans="1:19" ht="15.75">
      <c r="A771" s="13">
        <v>64619</v>
      </c>
      <c r="B771" s="8">
        <f>CHOOSE( CONTROL!$C$33, 24.9146, 24.9135) * CHOOSE(CONTROL!$C$16, $D$11, 100%, $F$11)</f>
        <v>24.9146</v>
      </c>
      <c r="C771" s="8">
        <f>CHOOSE( CONTROL!$C$33, 24.9197, 24.9186) * CHOOSE(CONTROL!$C$16, $D$11, 100%, $F$11)</f>
        <v>24.919699999999999</v>
      </c>
      <c r="D771" s="8">
        <f>CHOOSE( CONTROL!$C$33, 24.9101, 24.909) * CHOOSE( CONTROL!$C$16, $D$11, 100%, $F$11)</f>
        <v>24.9101</v>
      </c>
      <c r="E771" s="12">
        <f>CHOOSE( CONTROL!$C$33, 24.9131, 24.912) * CHOOSE( CONTROL!$C$16, $D$11, 100%, $F$11)</f>
        <v>24.9131</v>
      </c>
      <c r="F771" s="4">
        <f>CHOOSE( CONTROL!$C$33, 25.5747, 25.5736) * CHOOSE(CONTROL!$C$16, $D$11, 100%, $F$11)</f>
        <v>25.5747</v>
      </c>
      <c r="G771" s="8">
        <f>CHOOSE( CONTROL!$C$33, 24.6407, 24.6397) * CHOOSE( CONTROL!$C$16, $D$11, 100%, $F$11)</f>
        <v>24.640699999999999</v>
      </c>
      <c r="H771" s="4">
        <f>CHOOSE( CONTROL!$C$33, 25.5219, 25.5208) * CHOOSE(CONTROL!$C$16, $D$11, 100%, $F$11)</f>
        <v>25.521899999999999</v>
      </c>
      <c r="I771" s="8">
        <f>CHOOSE( CONTROL!$C$33, 24.3686, 24.3676) * CHOOSE(CONTROL!$C$16, $D$11, 100%, $F$11)</f>
        <v>24.368600000000001</v>
      </c>
      <c r="J771" s="4">
        <f>CHOOSE( CONTROL!$C$33, 24.1709, 24.1698) * CHOOSE(CONTROL!$C$16, $D$11, 100%, $F$11)</f>
        <v>24.1709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64650</v>
      </c>
      <c r="B772" s="8">
        <f>CHOOSE( CONTROL!$C$33, 24.8693, 24.8682) * CHOOSE(CONTROL!$C$16, $D$11, 100%, $F$11)</f>
        <v>24.869299999999999</v>
      </c>
      <c r="C772" s="8">
        <f>CHOOSE( CONTROL!$C$33, 24.8744, 24.8733) * CHOOSE(CONTROL!$C$16, $D$11, 100%, $F$11)</f>
        <v>24.874400000000001</v>
      </c>
      <c r="D772" s="8">
        <f>CHOOSE( CONTROL!$C$33, 24.8662, 24.8651) * CHOOSE( CONTROL!$C$16, $D$11, 100%, $F$11)</f>
        <v>24.866199999999999</v>
      </c>
      <c r="E772" s="12">
        <f>CHOOSE( CONTROL!$C$33, 24.8687, 24.8676) * CHOOSE( CONTROL!$C$16, $D$11, 100%, $F$11)</f>
        <v>24.8687</v>
      </c>
      <c r="F772" s="4">
        <f>CHOOSE( CONTROL!$C$33, 25.5294, 25.5283) * CHOOSE(CONTROL!$C$16, $D$11, 100%, $F$11)</f>
        <v>25.529399999999999</v>
      </c>
      <c r="G772" s="8">
        <f>CHOOSE( CONTROL!$C$33, 24.597, 24.5959) * CHOOSE( CONTROL!$C$16, $D$11, 100%, $F$11)</f>
        <v>24.597000000000001</v>
      </c>
      <c r="H772" s="4">
        <f>CHOOSE( CONTROL!$C$33, 25.4771, 25.476) * CHOOSE(CONTROL!$C$16, $D$11, 100%, $F$11)</f>
        <v>25.4771</v>
      </c>
      <c r="I772" s="8">
        <f>CHOOSE( CONTROL!$C$33, 24.3291, 24.328) * CHOOSE(CONTROL!$C$16, $D$11, 100%, $F$11)</f>
        <v>24.3291</v>
      </c>
      <c r="J772" s="4">
        <f>CHOOSE( CONTROL!$C$33, 24.1269, 24.1258) * CHOOSE(CONTROL!$C$16, $D$11, 100%, $F$11)</f>
        <v>24.126899999999999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64681</v>
      </c>
      <c r="B773" s="8">
        <f>CHOOSE( CONTROL!$C$33, 25.6026, 25.6015) * CHOOSE(CONTROL!$C$16, $D$11, 100%, $F$11)</f>
        <v>25.602599999999999</v>
      </c>
      <c r="C773" s="8">
        <f>CHOOSE( CONTROL!$C$33, 25.6076, 25.6065) * CHOOSE(CONTROL!$C$16, $D$11, 100%, $F$11)</f>
        <v>25.607600000000001</v>
      </c>
      <c r="D773" s="8">
        <f>CHOOSE( CONTROL!$C$33, 25.6103, 25.6092) * CHOOSE( CONTROL!$C$16, $D$11, 100%, $F$11)</f>
        <v>25.610299999999999</v>
      </c>
      <c r="E773" s="12">
        <f>CHOOSE( CONTROL!$C$33, 25.6088, 25.6077) * CHOOSE( CONTROL!$C$16, $D$11, 100%, $F$11)</f>
        <v>25.608799999999999</v>
      </c>
      <c r="F773" s="4">
        <f>CHOOSE( CONTROL!$C$33, 26.2627, 26.2616) * CHOOSE(CONTROL!$C$16, $D$11, 100%, $F$11)</f>
        <v>26.262699999999999</v>
      </c>
      <c r="G773" s="8">
        <f>CHOOSE( CONTROL!$C$33, 25.3245, 25.3234) * CHOOSE( CONTROL!$C$16, $D$11, 100%, $F$11)</f>
        <v>25.3245</v>
      </c>
      <c r="H773" s="4">
        <f>CHOOSE( CONTROL!$C$33, 26.2018, 26.2007) * CHOOSE(CONTROL!$C$16, $D$11, 100%, $F$11)</f>
        <v>26.201799999999999</v>
      </c>
      <c r="I773" s="8">
        <f>CHOOSE( CONTROL!$C$33, 25.0126, 25.0115) * CHOOSE(CONTROL!$C$16, $D$11, 100%, $F$11)</f>
        <v>25.012599999999999</v>
      </c>
      <c r="J773" s="4">
        <f>CHOOSE( CONTROL!$C$33, 24.8385, 24.8375) * CHOOSE(CONTROL!$C$16, $D$11, 100%, $F$11)</f>
        <v>24.8385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64709</v>
      </c>
      <c r="B774" s="8">
        <f>CHOOSE( CONTROL!$C$33, 23.948, 23.947) * CHOOSE(CONTROL!$C$16, $D$11, 100%, $F$11)</f>
        <v>23.948</v>
      </c>
      <c r="C774" s="8">
        <f>CHOOSE( CONTROL!$C$33, 23.9531, 23.952) * CHOOSE(CONTROL!$C$16, $D$11, 100%, $F$11)</f>
        <v>23.953099999999999</v>
      </c>
      <c r="D774" s="8">
        <f>CHOOSE( CONTROL!$C$33, 23.9557, 23.9546) * CHOOSE( CONTROL!$C$16, $D$11, 100%, $F$11)</f>
        <v>23.9557</v>
      </c>
      <c r="E774" s="12">
        <f>CHOOSE( CONTROL!$C$33, 23.9542, 23.9531) * CHOOSE( CONTROL!$C$16, $D$11, 100%, $F$11)</f>
        <v>23.9542</v>
      </c>
      <c r="F774" s="4">
        <f>CHOOSE( CONTROL!$C$33, 24.6082, 24.6071) * CHOOSE(CONTROL!$C$16, $D$11, 100%, $F$11)</f>
        <v>24.6082</v>
      </c>
      <c r="G774" s="8">
        <f>CHOOSE( CONTROL!$C$33, 23.6893, 23.6882) * CHOOSE( CONTROL!$C$16, $D$11, 100%, $F$11)</f>
        <v>23.689299999999999</v>
      </c>
      <c r="H774" s="4">
        <f>CHOOSE( CONTROL!$C$33, 24.5666, 24.5656) * CHOOSE(CONTROL!$C$16, $D$11, 100%, $F$11)</f>
        <v>24.566600000000001</v>
      </c>
      <c r="I774" s="8">
        <f>CHOOSE( CONTROL!$C$33, 23.4058, 23.4047) * CHOOSE(CONTROL!$C$16, $D$11, 100%, $F$11)</f>
        <v>23.405799999999999</v>
      </c>
      <c r="J774" s="4">
        <f>CHOOSE( CONTROL!$C$33, 23.2328, 23.2318) * CHOOSE(CONTROL!$C$16, $D$11, 100%, $F$11)</f>
        <v>23.232800000000001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64740</v>
      </c>
      <c r="B775" s="8">
        <f>CHOOSE( CONTROL!$C$33, 23.4385, 23.4374) * CHOOSE(CONTROL!$C$16, $D$11, 100%, $F$11)</f>
        <v>23.438500000000001</v>
      </c>
      <c r="C775" s="8">
        <f>CHOOSE( CONTROL!$C$33, 23.4435, 23.4425) * CHOOSE(CONTROL!$C$16, $D$11, 100%, $F$11)</f>
        <v>23.4435</v>
      </c>
      <c r="D775" s="8">
        <f>CHOOSE( CONTROL!$C$33, 23.4454, 23.4443) * CHOOSE( CONTROL!$C$16, $D$11, 100%, $F$11)</f>
        <v>23.445399999999999</v>
      </c>
      <c r="E775" s="12">
        <f>CHOOSE( CONTROL!$C$33, 23.4442, 23.4431) * CHOOSE( CONTROL!$C$16, $D$11, 100%, $F$11)</f>
        <v>23.444199999999999</v>
      </c>
      <c r="F775" s="4">
        <f>CHOOSE( CONTROL!$C$33, 24.0986, 24.0975) * CHOOSE(CONTROL!$C$16, $D$11, 100%, $F$11)</f>
        <v>24.098600000000001</v>
      </c>
      <c r="G775" s="8">
        <f>CHOOSE( CONTROL!$C$33, 23.1852, 23.1841) * CHOOSE( CONTROL!$C$16, $D$11, 100%, $F$11)</f>
        <v>23.185199999999998</v>
      </c>
      <c r="H775" s="4">
        <f>CHOOSE( CONTROL!$C$33, 24.063, 24.062) * CHOOSE(CONTROL!$C$16, $D$11, 100%, $F$11)</f>
        <v>24.062999999999999</v>
      </c>
      <c r="I775" s="8">
        <f>CHOOSE( CONTROL!$C$33, 22.9089, 22.9078) * CHOOSE(CONTROL!$C$16, $D$11, 100%, $F$11)</f>
        <v>22.908899999999999</v>
      </c>
      <c r="J775" s="4">
        <f>CHOOSE( CONTROL!$C$33, 22.7383, 22.7372) * CHOOSE(CONTROL!$C$16, $D$11, 100%, $F$11)</f>
        <v>22.738299999999999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64770</v>
      </c>
      <c r="B776" s="8">
        <f>CHOOSE( CONTROL!$C$33, 23.7953, 23.7942) * CHOOSE(CONTROL!$C$16, $D$11, 100%, $F$11)</f>
        <v>23.795300000000001</v>
      </c>
      <c r="C776" s="8">
        <f>CHOOSE( CONTROL!$C$33, 23.7998, 23.7987) * CHOOSE(CONTROL!$C$16, $D$11, 100%, $F$11)</f>
        <v>23.799800000000001</v>
      </c>
      <c r="D776" s="8">
        <f>CHOOSE( CONTROL!$C$33, 23.8242, 23.8231) * CHOOSE( CONTROL!$C$16, $D$11, 100%, $F$11)</f>
        <v>23.824200000000001</v>
      </c>
      <c r="E776" s="12">
        <f>CHOOSE( CONTROL!$C$33, 23.8156, 23.8145) * CHOOSE( CONTROL!$C$16, $D$11, 100%, $F$11)</f>
        <v>23.8156</v>
      </c>
      <c r="F776" s="4">
        <f>CHOOSE( CONTROL!$C$33, 24.5242, 24.5231) * CHOOSE(CONTROL!$C$16, $D$11, 100%, $F$11)</f>
        <v>24.5242</v>
      </c>
      <c r="G776" s="8">
        <f>CHOOSE( CONTROL!$C$33, 23.5468, 23.5457) * CHOOSE( CONTROL!$C$16, $D$11, 100%, $F$11)</f>
        <v>23.546800000000001</v>
      </c>
      <c r="H776" s="4">
        <f>CHOOSE( CONTROL!$C$33, 24.4837, 24.4826) * CHOOSE(CONTROL!$C$16, $D$11, 100%, $F$11)</f>
        <v>24.483699999999999</v>
      </c>
      <c r="I776" s="8">
        <f>CHOOSE( CONTROL!$C$33, 23.2199, 23.2188) * CHOOSE(CONTROL!$C$16, $D$11, 100%, $F$11)</f>
        <v>23.219899999999999</v>
      </c>
      <c r="J776" s="4">
        <f>CHOOSE( CONTROL!$C$33, 23.0839, 23.0828) * CHOOSE(CONTROL!$C$16, $D$11, 100%, $F$11)</f>
        <v>23.0839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1.2509999999999999</v>
      </c>
      <c r="Q776" s="9">
        <v>19.053000000000001</v>
      </c>
      <c r="R776" s="9"/>
      <c r="S776" s="11"/>
    </row>
    <row r="777" spans="1:19" ht="15.75">
      <c r="A777" s="13">
        <v>64801</v>
      </c>
      <c r="B777" s="8">
        <f>CHOOSE( CONTROL!$C$33, 24.431, 24.4293) * CHOOSE(CONTROL!$C$16, $D$11, 100%, $F$11)</f>
        <v>24.431000000000001</v>
      </c>
      <c r="C777" s="8">
        <f>CHOOSE( CONTROL!$C$33, 24.439, 24.4373) * CHOOSE(CONTROL!$C$16, $D$11, 100%, $F$11)</f>
        <v>24.439</v>
      </c>
      <c r="D777" s="8">
        <f>CHOOSE( CONTROL!$C$33, 24.4573, 24.4556) * CHOOSE( CONTROL!$C$16, $D$11, 100%, $F$11)</f>
        <v>24.4573</v>
      </c>
      <c r="E777" s="12">
        <f>CHOOSE( CONTROL!$C$33, 24.4494, 24.4477) * CHOOSE( CONTROL!$C$16, $D$11, 100%, $F$11)</f>
        <v>24.449400000000001</v>
      </c>
      <c r="F777" s="4">
        <f>CHOOSE( CONTROL!$C$33, 25.1586, 25.1569) * CHOOSE(CONTROL!$C$16, $D$11, 100%, $F$11)</f>
        <v>25.1586</v>
      </c>
      <c r="G777" s="8">
        <f>CHOOSE( CONTROL!$C$33, 24.1736, 24.172) * CHOOSE( CONTROL!$C$16, $D$11, 100%, $F$11)</f>
        <v>24.1736</v>
      </c>
      <c r="H777" s="4">
        <f>CHOOSE( CONTROL!$C$33, 25.1106, 25.1089) * CHOOSE(CONTROL!$C$16, $D$11, 100%, $F$11)</f>
        <v>25.110600000000002</v>
      </c>
      <c r="I777" s="8">
        <f>CHOOSE( CONTROL!$C$33, 23.8352, 23.8336) * CHOOSE(CONTROL!$C$16, $D$11, 100%, $F$11)</f>
        <v>23.8352</v>
      </c>
      <c r="J777" s="4">
        <f>CHOOSE( CONTROL!$C$33, 23.6995, 23.6979) * CHOOSE(CONTROL!$C$16, $D$11, 100%, $F$11)</f>
        <v>23.6995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1.2927</v>
      </c>
      <c r="Q777" s="9">
        <v>19.688099999999999</v>
      </c>
      <c r="R777" s="9"/>
      <c r="S777" s="11"/>
    </row>
    <row r="778" spans="1:19" ht="15.75">
      <c r="A778" s="13">
        <v>64831</v>
      </c>
      <c r="B778" s="8">
        <f>CHOOSE( CONTROL!$C$33, 24.0384, 24.0368) * CHOOSE(CONTROL!$C$16, $D$11, 100%, $F$11)</f>
        <v>24.038399999999999</v>
      </c>
      <c r="C778" s="8">
        <f>CHOOSE( CONTROL!$C$33, 24.0464, 24.0447) * CHOOSE(CONTROL!$C$16, $D$11, 100%, $F$11)</f>
        <v>24.046399999999998</v>
      </c>
      <c r="D778" s="8">
        <f>CHOOSE( CONTROL!$C$33, 24.0649, 24.0633) * CHOOSE( CONTROL!$C$16, $D$11, 100%, $F$11)</f>
        <v>24.064900000000002</v>
      </c>
      <c r="E778" s="12">
        <f>CHOOSE( CONTROL!$C$33, 24.057, 24.0554) * CHOOSE( CONTROL!$C$16, $D$11, 100%, $F$11)</f>
        <v>24.056999999999999</v>
      </c>
      <c r="F778" s="4">
        <f>CHOOSE( CONTROL!$C$33, 24.766, 24.7643) * CHOOSE(CONTROL!$C$16, $D$11, 100%, $F$11)</f>
        <v>24.765999999999998</v>
      </c>
      <c r="G778" s="8">
        <f>CHOOSE( CONTROL!$C$33, 23.7858, 23.7842) * CHOOSE( CONTROL!$C$16, $D$11, 100%, $F$11)</f>
        <v>23.785799999999998</v>
      </c>
      <c r="H778" s="4">
        <f>CHOOSE( CONTROL!$C$33, 24.7226, 24.7209) * CHOOSE(CONTROL!$C$16, $D$11, 100%, $F$11)</f>
        <v>24.7226</v>
      </c>
      <c r="I778" s="8">
        <f>CHOOSE( CONTROL!$C$33, 23.4548, 23.4532) * CHOOSE(CONTROL!$C$16, $D$11, 100%, $F$11)</f>
        <v>23.454799999999999</v>
      </c>
      <c r="J778" s="4">
        <f>CHOOSE( CONTROL!$C$33, 23.3185, 23.3169) * CHOOSE(CONTROL!$C$16, $D$11, 100%, $F$11)</f>
        <v>23.3185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1.2509999999999999</v>
      </c>
      <c r="Q778" s="9">
        <v>19.053000000000001</v>
      </c>
      <c r="R778" s="9"/>
      <c r="S778" s="11"/>
    </row>
    <row r="779" spans="1:19" ht="15.75">
      <c r="A779" s="13">
        <v>64862</v>
      </c>
      <c r="B779" s="8">
        <f>CHOOSE( CONTROL!$C$33, 25.0722, 25.0706) * CHOOSE(CONTROL!$C$16, $D$11, 100%, $F$11)</f>
        <v>25.072199999999999</v>
      </c>
      <c r="C779" s="8">
        <f>CHOOSE( CONTROL!$C$33, 25.0802, 25.0786) * CHOOSE(CONTROL!$C$16, $D$11, 100%, $F$11)</f>
        <v>25.080200000000001</v>
      </c>
      <c r="D779" s="8">
        <f>CHOOSE( CONTROL!$C$33, 25.099, 25.0974) * CHOOSE( CONTROL!$C$16, $D$11, 100%, $F$11)</f>
        <v>25.099</v>
      </c>
      <c r="E779" s="12">
        <f>CHOOSE( CONTROL!$C$33, 25.091, 25.0894) * CHOOSE( CONTROL!$C$16, $D$11, 100%, $F$11)</f>
        <v>25.091000000000001</v>
      </c>
      <c r="F779" s="4">
        <f>CHOOSE( CONTROL!$C$33, 25.7998, 25.7981) * CHOOSE(CONTROL!$C$16, $D$11, 100%, $F$11)</f>
        <v>25.799800000000001</v>
      </c>
      <c r="G779" s="8">
        <f>CHOOSE( CONTROL!$C$33, 24.8077, 24.8061) * CHOOSE( CONTROL!$C$16, $D$11, 100%, $F$11)</f>
        <v>24.807700000000001</v>
      </c>
      <c r="H779" s="4">
        <f>CHOOSE( CONTROL!$C$33, 25.7443, 25.7427) * CHOOSE(CONTROL!$C$16, $D$11, 100%, $F$11)</f>
        <v>25.744299999999999</v>
      </c>
      <c r="I779" s="8">
        <f>CHOOSE( CONTROL!$C$33, 24.4595, 24.4579) * CHOOSE(CONTROL!$C$16, $D$11, 100%, $F$11)</f>
        <v>24.459499999999998</v>
      </c>
      <c r="J779" s="4">
        <f>CHOOSE( CONTROL!$C$33, 24.3218, 24.3202) * CHOOSE(CONTROL!$C$16, $D$11, 100%, $F$11)</f>
        <v>24.3218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1.2927</v>
      </c>
      <c r="Q779" s="9">
        <v>19.688099999999999</v>
      </c>
      <c r="R779" s="9"/>
      <c r="S779" s="11"/>
    </row>
    <row r="780" spans="1:19" ht="15.75">
      <c r="A780" s="13">
        <v>64893</v>
      </c>
      <c r="B780" s="8">
        <f>CHOOSE( CONTROL!$C$33, 23.1378, 23.1362) * CHOOSE(CONTROL!$C$16, $D$11, 100%, $F$11)</f>
        <v>23.137799999999999</v>
      </c>
      <c r="C780" s="8">
        <f>CHOOSE( CONTROL!$C$33, 23.1458, 23.1442) * CHOOSE(CONTROL!$C$16, $D$11, 100%, $F$11)</f>
        <v>23.145800000000001</v>
      </c>
      <c r="D780" s="8">
        <f>CHOOSE( CONTROL!$C$33, 23.1647, 23.163) * CHOOSE( CONTROL!$C$16, $D$11, 100%, $F$11)</f>
        <v>23.1647</v>
      </c>
      <c r="E780" s="12">
        <f>CHOOSE( CONTROL!$C$33, 23.1566, 23.155) * CHOOSE( CONTROL!$C$16, $D$11, 100%, $F$11)</f>
        <v>23.156600000000001</v>
      </c>
      <c r="F780" s="4">
        <f>CHOOSE( CONTROL!$C$33, 23.8654, 23.8637) * CHOOSE(CONTROL!$C$16, $D$11, 100%, $F$11)</f>
        <v>23.865400000000001</v>
      </c>
      <c r="G780" s="8">
        <f>CHOOSE( CONTROL!$C$33, 22.896, 22.8944) * CHOOSE( CONTROL!$C$16, $D$11, 100%, $F$11)</f>
        <v>22.896000000000001</v>
      </c>
      <c r="H780" s="4">
        <f>CHOOSE( CONTROL!$C$33, 23.8326, 23.8309) * CHOOSE(CONTROL!$C$16, $D$11, 100%, $F$11)</f>
        <v>23.832599999999999</v>
      </c>
      <c r="I780" s="8">
        <f>CHOOSE( CONTROL!$C$33, 22.5815, 22.5799) * CHOOSE(CONTROL!$C$16, $D$11, 100%, $F$11)</f>
        <v>22.581499999999998</v>
      </c>
      <c r="J780" s="4">
        <f>CHOOSE( CONTROL!$C$33, 22.4445, 22.4428) * CHOOSE(CONTROL!$C$16, $D$11, 100%, $F$11)</f>
        <v>22.444500000000001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1.2927</v>
      </c>
      <c r="Q780" s="9">
        <v>19.688099999999999</v>
      </c>
      <c r="R780" s="9"/>
      <c r="S780" s="11"/>
    </row>
    <row r="781" spans="1:19" ht="15.75">
      <c r="A781" s="13">
        <v>64923</v>
      </c>
      <c r="B781" s="8">
        <f>CHOOSE( CONTROL!$C$33, 22.6534, 22.6518) * CHOOSE(CONTROL!$C$16, $D$11, 100%, $F$11)</f>
        <v>22.653400000000001</v>
      </c>
      <c r="C781" s="8">
        <f>CHOOSE( CONTROL!$C$33, 22.6614, 22.6598) * CHOOSE(CONTROL!$C$16, $D$11, 100%, $F$11)</f>
        <v>22.6614</v>
      </c>
      <c r="D781" s="8">
        <f>CHOOSE( CONTROL!$C$33, 22.6802, 22.6785) * CHOOSE( CONTROL!$C$16, $D$11, 100%, $F$11)</f>
        <v>22.680199999999999</v>
      </c>
      <c r="E781" s="12">
        <f>CHOOSE( CONTROL!$C$33, 22.6722, 22.6705) * CHOOSE( CONTROL!$C$16, $D$11, 100%, $F$11)</f>
        <v>22.6722</v>
      </c>
      <c r="F781" s="4">
        <f>CHOOSE( CONTROL!$C$33, 23.381, 23.3793) * CHOOSE(CONTROL!$C$16, $D$11, 100%, $F$11)</f>
        <v>23.381</v>
      </c>
      <c r="G781" s="8">
        <f>CHOOSE( CONTROL!$C$33, 22.4172, 22.4156) * CHOOSE( CONTROL!$C$16, $D$11, 100%, $F$11)</f>
        <v>22.417200000000001</v>
      </c>
      <c r="H781" s="4">
        <f>CHOOSE( CONTROL!$C$33, 23.3538, 23.3522) * CHOOSE(CONTROL!$C$16, $D$11, 100%, $F$11)</f>
        <v>23.3538</v>
      </c>
      <c r="I781" s="8">
        <f>CHOOSE( CONTROL!$C$33, 22.1108, 22.1092) * CHOOSE(CONTROL!$C$16, $D$11, 100%, $F$11)</f>
        <v>22.110800000000001</v>
      </c>
      <c r="J781" s="4">
        <f>CHOOSE( CONTROL!$C$33, 21.9743, 21.9727) * CHOOSE(CONTROL!$C$16, $D$11, 100%, $F$11)</f>
        <v>21.974299999999999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1.2509999999999999</v>
      </c>
      <c r="Q781" s="9">
        <v>19.053000000000001</v>
      </c>
      <c r="R781" s="9"/>
      <c r="S781" s="11"/>
    </row>
    <row r="782" spans="1:19" ht="15.75">
      <c r="A782" s="13">
        <v>64954</v>
      </c>
      <c r="B782" s="8">
        <f>CHOOSE( CONTROL!$C$33, 23.6569, 23.6558) * CHOOSE(CONTROL!$C$16, $D$11, 100%, $F$11)</f>
        <v>23.6569</v>
      </c>
      <c r="C782" s="8">
        <f>CHOOSE( CONTROL!$C$33, 23.6623, 23.6612) * CHOOSE(CONTROL!$C$16, $D$11, 100%, $F$11)</f>
        <v>23.662299999999998</v>
      </c>
      <c r="D782" s="8">
        <f>CHOOSE( CONTROL!$C$33, 23.6867, 23.6856) * CHOOSE( CONTROL!$C$16, $D$11, 100%, $F$11)</f>
        <v>23.686699999999998</v>
      </c>
      <c r="E782" s="12">
        <f>CHOOSE( CONTROL!$C$33, 23.6781, 23.677) * CHOOSE( CONTROL!$C$16, $D$11, 100%, $F$11)</f>
        <v>23.678100000000001</v>
      </c>
      <c r="F782" s="4">
        <f>CHOOSE( CONTROL!$C$33, 24.3862, 24.3851) * CHOOSE(CONTROL!$C$16, $D$11, 100%, $F$11)</f>
        <v>24.386199999999999</v>
      </c>
      <c r="G782" s="8">
        <f>CHOOSE( CONTROL!$C$33, 23.4108, 23.4098) * CHOOSE( CONTROL!$C$16, $D$11, 100%, $F$11)</f>
        <v>23.410799999999998</v>
      </c>
      <c r="H782" s="4">
        <f>CHOOSE( CONTROL!$C$33, 24.3473, 24.3462) * CHOOSE(CONTROL!$C$16, $D$11, 100%, $F$11)</f>
        <v>24.347300000000001</v>
      </c>
      <c r="I782" s="8">
        <f>CHOOSE( CONTROL!$C$33, 23.0877, 23.0867) * CHOOSE(CONTROL!$C$16, $D$11, 100%, $F$11)</f>
        <v>23.087700000000002</v>
      </c>
      <c r="J782" s="4">
        <f>CHOOSE( CONTROL!$C$33, 22.9499, 22.9488) * CHOOSE(CONTROL!$C$16, $D$11, 100%, $F$11)</f>
        <v>22.9499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1.2927</v>
      </c>
      <c r="Q782" s="9">
        <v>19.688099999999999</v>
      </c>
      <c r="R782" s="9"/>
      <c r="S782" s="11"/>
    </row>
    <row r="783" spans="1:19" ht="15.75">
      <c r="A783" s="13">
        <v>64984</v>
      </c>
      <c r="B783" s="8">
        <f>CHOOSE( CONTROL!$C$33, 25.513, 25.5119) * CHOOSE(CONTROL!$C$16, $D$11, 100%, $F$11)</f>
        <v>25.513000000000002</v>
      </c>
      <c r="C783" s="8">
        <f>CHOOSE( CONTROL!$C$33, 25.5181, 25.517) * CHOOSE(CONTROL!$C$16, $D$11, 100%, $F$11)</f>
        <v>25.5181</v>
      </c>
      <c r="D783" s="8">
        <f>CHOOSE( CONTROL!$C$33, 25.5084, 25.5074) * CHOOSE( CONTROL!$C$16, $D$11, 100%, $F$11)</f>
        <v>25.508400000000002</v>
      </c>
      <c r="E783" s="12">
        <f>CHOOSE( CONTROL!$C$33, 25.5114, 25.5104) * CHOOSE( CONTROL!$C$16, $D$11, 100%, $F$11)</f>
        <v>25.511399999999998</v>
      </c>
      <c r="F783" s="4">
        <f>CHOOSE( CONTROL!$C$33, 26.1731, 26.172) * CHOOSE(CONTROL!$C$16, $D$11, 100%, $F$11)</f>
        <v>26.173100000000002</v>
      </c>
      <c r="G783" s="8">
        <f>CHOOSE( CONTROL!$C$33, 25.2321, 25.231) * CHOOSE( CONTROL!$C$16, $D$11, 100%, $F$11)</f>
        <v>25.232099999999999</v>
      </c>
      <c r="H783" s="4">
        <f>CHOOSE( CONTROL!$C$33, 26.1132, 26.1122) * CHOOSE(CONTROL!$C$16, $D$11, 100%, $F$11)</f>
        <v>26.113199999999999</v>
      </c>
      <c r="I783" s="8">
        <f>CHOOSE( CONTROL!$C$33, 24.9497, 24.9486) * CHOOSE(CONTROL!$C$16, $D$11, 100%, $F$11)</f>
        <v>24.9497</v>
      </c>
      <c r="J783" s="4">
        <f>CHOOSE( CONTROL!$C$33, 24.7516, 24.7505) * CHOOSE(CONTROL!$C$16, $D$11, 100%, $F$11)</f>
        <v>24.7516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65015</v>
      </c>
      <c r="B784" s="8">
        <f>CHOOSE( CONTROL!$C$33, 25.4666, 25.4655) * CHOOSE(CONTROL!$C$16, $D$11, 100%, $F$11)</f>
        <v>25.4666</v>
      </c>
      <c r="C784" s="8">
        <f>CHOOSE( CONTROL!$C$33, 25.4717, 25.4706) * CHOOSE(CONTROL!$C$16, $D$11, 100%, $F$11)</f>
        <v>25.471699999999998</v>
      </c>
      <c r="D784" s="8">
        <f>CHOOSE( CONTROL!$C$33, 25.4635, 25.4624) * CHOOSE( CONTROL!$C$16, $D$11, 100%, $F$11)</f>
        <v>25.4635</v>
      </c>
      <c r="E784" s="12">
        <f>CHOOSE( CONTROL!$C$33, 25.466, 25.4649) * CHOOSE( CONTROL!$C$16, $D$11, 100%, $F$11)</f>
        <v>25.466000000000001</v>
      </c>
      <c r="F784" s="4">
        <f>CHOOSE( CONTROL!$C$33, 26.1267, 26.1256) * CHOOSE(CONTROL!$C$16, $D$11, 100%, $F$11)</f>
        <v>26.1267</v>
      </c>
      <c r="G784" s="8">
        <f>CHOOSE( CONTROL!$C$33, 25.1873, 25.1862) * CHOOSE( CONTROL!$C$16, $D$11, 100%, $F$11)</f>
        <v>25.1873</v>
      </c>
      <c r="H784" s="4">
        <f>CHOOSE( CONTROL!$C$33, 26.0674, 26.0663) * CHOOSE(CONTROL!$C$16, $D$11, 100%, $F$11)</f>
        <v>26.067399999999999</v>
      </c>
      <c r="I784" s="8">
        <f>CHOOSE( CONTROL!$C$33, 24.9091, 24.908) * CHOOSE(CONTROL!$C$16, $D$11, 100%, $F$11)</f>
        <v>24.909099999999999</v>
      </c>
      <c r="J784" s="4">
        <f>CHOOSE( CONTROL!$C$33, 24.7066, 24.7055) * CHOOSE(CONTROL!$C$16, $D$11, 100%, $F$11)</f>
        <v>24.706600000000002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65046</v>
      </c>
      <c r="B785" s="8">
        <f>CHOOSE( CONTROL!$C$33, 26.2175, 26.2164) * CHOOSE(CONTROL!$C$16, $D$11, 100%, $F$11)</f>
        <v>26.217500000000001</v>
      </c>
      <c r="C785" s="8">
        <f>CHOOSE( CONTROL!$C$33, 26.2226, 26.2215) * CHOOSE(CONTROL!$C$16, $D$11, 100%, $F$11)</f>
        <v>26.2226</v>
      </c>
      <c r="D785" s="8">
        <f>CHOOSE( CONTROL!$C$33, 26.2252, 26.2241) * CHOOSE( CONTROL!$C$16, $D$11, 100%, $F$11)</f>
        <v>26.225200000000001</v>
      </c>
      <c r="E785" s="12">
        <f>CHOOSE( CONTROL!$C$33, 26.2237, 26.2226) * CHOOSE( CONTROL!$C$16, $D$11, 100%, $F$11)</f>
        <v>26.223700000000001</v>
      </c>
      <c r="F785" s="4">
        <f>CHOOSE( CONTROL!$C$33, 26.8776, 26.8765) * CHOOSE(CONTROL!$C$16, $D$11, 100%, $F$11)</f>
        <v>26.877600000000001</v>
      </c>
      <c r="G785" s="8">
        <f>CHOOSE( CONTROL!$C$33, 25.9322, 25.9311) * CHOOSE( CONTROL!$C$16, $D$11, 100%, $F$11)</f>
        <v>25.932200000000002</v>
      </c>
      <c r="H785" s="4">
        <f>CHOOSE( CONTROL!$C$33, 26.8095, 26.8084) * CHOOSE(CONTROL!$C$16, $D$11, 100%, $F$11)</f>
        <v>26.8095</v>
      </c>
      <c r="I785" s="8">
        <f>CHOOSE( CONTROL!$C$33, 25.6096, 25.6086) * CHOOSE(CONTROL!$C$16, $D$11, 100%, $F$11)</f>
        <v>25.6096</v>
      </c>
      <c r="J785" s="4">
        <f>CHOOSE( CONTROL!$C$33, 25.4353, 25.4343) * CHOOSE(CONTROL!$C$16, $D$11, 100%, $F$11)</f>
        <v>25.435300000000002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65074</v>
      </c>
      <c r="B786" s="8">
        <f>CHOOSE( CONTROL!$C$33, 24.5232, 24.5221) * CHOOSE(CONTROL!$C$16, $D$11, 100%, $F$11)</f>
        <v>24.523199999999999</v>
      </c>
      <c r="C786" s="8">
        <f>CHOOSE( CONTROL!$C$33, 24.5283, 24.5272) * CHOOSE(CONTROL!$C$16, $D$11, 100%, $F$11)</f>
        <v>24.528300000000002</v>
      </c>
      <c r="D786" s="8">
        <f>CHOOSE( CONTROL!$C$33, 24.5308, 24.5298) * CHOOSE( CONTROL!$C$16, $D$11, 100%, $F$11)</f>
        <v>24.530799999999999</v>
      </c>
      <c r="E786" s="12">
        <f>CHOOSE( CONTROL!$C$33, 24.5293, 24.5283) * CHOOSE( CONTROL!$C$16, $D$11, 100%, $F$11)</f>
        <v>24.529299999999999</v>
      </c>
      <c r="F786" s="4">
        <f>CHOOSE( CONTROL!$C$33, 25.1833, 25.1823) * CHOOSE(CONTROL!$C$16, $D$11, 100%, $F$11)</f>
        <v>25.183299999999999</v>
      </c>
      <c r="G786" s="8">
        <f>CHOOSE( CONTROL!$C$33, 24.2577, 24.2567) * CHOOSE( CONTROL!$C$16, $D$11, 100%, $F$11)</f>
        <v>24.2577</v>
      </c>
      <c r="H786" s="4">
        <f>CHOOSE( CONTROL!$C$33, 25.1351, 25.134) * CHOOSE(CONTROL!$C$16, $D$11, 100%, $F$11)</f>
        <v>25.135100000000001</v>
      </c>
      <c r="I786" s="8">
        <f>CHOOSE( CONTROL!$C$33, 23.9643, 23.9632) * CHOOSE(CONTROL!$C$16, $D$11, 100%, $F$11)</f>
        <v>23.964300000000001</v>
      </c>
      <c r="J786" s="4">
        <f>CHOOSE( CONTROL!$C$33, 23.791, 23.79) * CHOOSE(CONTROL!$C$16, $D$11, 100%, $F$11)</f>
        <v>23.791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65105</v>
      </c>
      <c r="B787" s="8">
        <f>CHOOSE( CONTROL!$C$33, 24.0014, 24.0003) * CHOOSE(CONTROL!$C$16, $D$11, 100%, $F$11)</f>
        <v>24.0014</v>
      </c>
      <c r="C787" s="8">
        <f>CHOOSE( CONTROL!$C$33, 24.0065, 24.0054) * CHOOSE(CONTROL!$C$16, $D$11, 100%, $F$11)</f>
        <v>24.006499999999999</v>
      </c>
      <c r="D787" s="8">
        <f>CHOOSE( CONTROL!$C$33, 24.0083, 24.0073) * CHOOSE( CONTROL!$C$16, $D$11, 100%, $F$11)</f>
        <v>24.008299999999998</v>
      </c>
      <c r="E787" s="12">
        <f>CHOOSE( CONTROL!$C$33, 24.0071, 24.0061) * CHOOSE( CONTROL!$C$16, $D$11, 100%, $F$11)</f>
        <v>24.007100000000001</v>
      </c>
      <c r="F787" s="4">
        <f>CHOOSE( CONTROL!$C$33, 24.6615, 24.6604) * CHOOSE(CONTROL!$C$16, $D$11, 100%, $F$11)</f>
        <v>24.6615</v>
      </c>
      <c r="G787" s="8">
        <f>CHOOSE( CONTROL!$C$33, 23.7415, 23.7405) * CHOOSE( CONTROL!$C$16, $D$11, 100%, $F$11)</f>
        <v>23.741499999999998</v>
      </c>
      <c r="H787" s="4">
        <f>CHOOSE( CONTROL!$C$33, 24.6194, 24.6183) * CHOOSE(CONTROL!$C$16, $D$11, 100%, $F$11)</f>
        <v>24.619399999999999</v>
      </c>
      <c r="I787" s="8">
        <f>CHOOSE( CONTROL!$C$33, 23.4554, 23.4544) * CHOOSE(CONTROL!$C$16, $D$11, 100%, $F$11)</f>
        <v>23.455400000000001</v>
      </c>
      <c r="J787" s="4">
        <f>CHOOSE( CONTROL!$C$33, 23.2846, 23.2835) * CHOOSE(CONTROL!$C$16, $D$11, 100%, $F$11)</f>
        <v>23.284600000000001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65135</v>
      </c>
      <c r="B788" s="8">
        <f>CHOOSE( CONTROL!$C$33, 24.3668, 24.3657) * CHOOSE(CONTROL!$C$16, $D$11, 100%, $F$11)</f>
        <v>24.366800000000001</v>
      </c>
      <c r="C788" s="8">
        <f>CHOOSE( CONTROL!$C$33, 24.3713, 24.3702) * CHOOSE(CONTROL!$C$16, $D$11, 100%, $F$11)</f>
        <v>24.371300000000002</v>
      </c>
      <c r="D788" s="8">
        <f>CHOOSE( CONTROL!$C$33, 24.3957, 24.3946) * CHOOSE( CONTROL!$C$16, $D$11, 100%, $F$11)</f>
        <v>24.395700000000001</v>
      </c>
      <c r="E788" s="12">
        <f>CHOOSE( CONTROL!$C$33, 24.3871, 24.386) * CHOOSE( CONTROL!$C$16, $D$11, 100%, $F$11)</f>
        <v>24.3871</v>
      </c>
      <c r="F788" s="4">
        <f>CHOOSE( CONTROL!$C$33, 25.0957, 25.0946) * CHOOSE(CONTROL!$C$16, $D$11, 100%, $F$11)</f>
        <v>25.095700000000001</v>
      </c>
      <c r="G788" s="8">
        <f>CHOOSE( CONTROL!$C$33, 24.1116, 24.1105) * CHOOSE( CONTROL!$C$16, $D$11, 100%, $F$11)</f>
        <v>24.111599999999999</v>
      </c>
      <c r="H788" s="4">
        <f>CHOOSE( CONTROL!$C$33, 25.0485, 25.0474) * CHOOSE(CONTROL!$C$16, $D$11, 100%, $F$11)</f>
        <v>25.048500000000001</v>
      </c>
      <c r="I788" s="8">
        <f>CHOOSE( CONTROL!$C$33, 23.7748, 23.7737) * CHOOSE(CONTROL!$C$16, $D$11, 100%, $F$11)</f>
        <v>23.774799999999999</v>
      </c>
      <c r="J788" s="4">
        <f>CHOOSE( CONTROL!$C$33, 23.6385, 23.6374) * CHOOSE(CONTROL!$C$16, $D$11, 100%, $F$11)</f>
        <v>23.638500000000001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1.2509999999999999</v>
      </c>
      <c r="Q788" s="9">
        <v>19.053000000000001</v>
      </c>
      <c r="R788" s="9"/>
      <c r="S788" s="11"/>
    </row>
    <row r="789" spans="1:19" ht="15.75">
      <c r="A789" s="13">
        <v>65166</v>
      </c>
      <c r="B789" s="8">
        <f>CHOOSE( CONTROL!$C$33, 25.0177, 25.0161) * CHOOSE(CONTROL!$C$16, $D$11, 100%, $F$11)</f>
        <v>25.017700000000001</v>
      </c>
      <c r="C789" s="8">
        <f>CHOOSE( CONTROL!$C$33, 25.0257, 25.024) * CHOOSE(CONTROL!$C$16, $D$11, 100%, $F$11)</f>
        <v>25.025700000000001</v>
      </c>
      <c r="D789" s="8">
        <f>CHOOSE( CONTROL!$C$33, 25.044, 25.0423) * CHOOSE( CONTROL!$C$16, $D$11, 100%, $F$11)</f>
        <v>25.044</v>
      </c>
      <c r="E789" s="12">
        <f>CHOOSE( CONTROL!$C$33, 25.0361, 25.0345) * CHOOSE( CONTROL!$C$16, $D$11, 100%, $F$11)</f>
        <v>25.036100000000001</v>
      </c>
      <c r="F789" s="4">
        <f>CHOOSE( CONTROL!$C$33, 25.7453, 25.7436) * CHOOSE(CONTROL!$C$16, $D$11, 100%, $F$11)</f>
        <v>25.7453</v>
      </c>
      <c r="G789" s="8">
        <f>CHOOSE( CONTROL!$C$33, 24.7534, 24.7518) * CHOOSE( CONTROL!$C$16, $D$11, 100%, $F$11)</f>
        <v>24.753399999999999</v>
      </c>
      <c r="H789" s="4">
        <f>CHOOSE( CONTROL!$C$33, 25.6904, 25.6888) * CHOOSE(CONTROL!$C$16, $D$11, 100%, $F$11)</f>
        <v>25.6904</v>
      </c>
      <c r="I789" s="8">
        <f>CHOOSE( CONTROL!$C$33, 24.4049, 24.4032) * CHOOSE(CONTROL!$C$16, $D$11, 100%, $F$11)</f>
        <v>24.404900000000001</v>
      </c>
      <c r="J789" s="4">
        <f>CHOOSE( CONTROL!$C$33, 24.2689, 24.2673) * CHOOSE(CONTROL!$C$16, $D$11, 100%, $F$11)</f>
        <v>24.268899999999999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1.2927</v>
      </c>
      <c r="Q789" s="9">
        <v>19.688099999999999</v>
      </c>
      <c r="R789" s="9"/>
      <c r="S789" s="11"/>
    </row>
    <row r="790" spans="1:19" ht="15.75">
      <c r="A790" s="13">
        <v>65196</v>
      </c>
      <c r="B790" s="8">
        <f>CHOOSE( CONTROL!$C$33, 24.6157, 24.614) * CHOOSE(CONTROL!$C$16, $D$11, 100%, $F$11)</f>
        <v>24.6157</v>
      </c>
      <c r="C790" s="8">
        <f>CHOOSE( CONTROL!$C$33, 24.6237, 24.622) * CHOOSE(CONTROL!$C$16, $D$11, 100%, $F$11)</f>
        <v>24.623699999999999</v>
      </c>
      <c r="D790" s="8">
        <f>CHOOSE( CONTROL!$C$33, 24.6422, 24.6406) * CHOOSE( CONTROL!$C$16, $D$11, 100%, $F$11)</f>
        <v>24.642199999999999</v>
      </c>
      <c r="E790" s="12">
        <f>CHOOSE( CONTROL!$C$33, 24.6343, 24.6326) * CHOOSE( CONTROL!$C$16, $D$11, 100%, $F$11)</f>
        <v>24.6343</v>
      </c>
      <c r="F790" s="4">
        <f>CHOOSE( CONTROL!$C$33, 25.3432, 25.3416) * CHOOSE(CONTROL!$C$16, $D$11, 100%, $F$11)</f>
        <v>25.3432</v>
      </c>
      <c r="G790" s="8">
        <f>CHOOSE( CONTROL!$C$33, 24.3563, 24.3547) * CHOOSE( CONTROL!$C$16, $D$11, 100%, $F$11)</f>
        <v>24.356300000000001</v>
      </c>
      <c r="H790" s="4">
        <f>CHOOSE( CONTROL!$C$33, 25.2931, 25.2915) * CHOOSE(CONTROL!$C$16, $D$11, 100%, $F$11)</f>
        <v>25.293099999999999</v>
      </c>
      <c r="I790" s="8">
        <f>CHOOSE( CONTROL!$C$33, 24.0153, 24.0137) * CHOOSE(CONTROL!$C$16, $D$11, 100%, $F$11)</f>
        <v>24.0153</v>
      </c>
      <c r="J790" s="4">
        <f>CHOOSE( CONTROL!$C$33, 23.8787, 23.8771) * CHOOSE(CONTROL!$C$16, $D$11, 100%, $F$11)</f>
        <v>23.878699999999998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1.2509999999999999</v>
      </c>
      <c r="Q790" s="9">
        <v>19.053000000000001</v>
      </c>
      <c r="R790" s="9"/>
      <c r="S790" s="11"/>
    </row>
    <row r="791" spans="1:19" ht="15.75">
      <c r="A791" s="13">
        <v>65227</v>
      </c>
      <c r="B791" s="8">
        <f>CHOOSE( CONTROL!$C$33, 25.6744, 25.6727) * CHOOSE(CONTROL!$C$16, $D$11, 100%, $F$11)</f>
        <v>25.674399999999999</v>
      </c>
      <c r="C791" s="8">
        <f>CHOOSE( CONTROL!$C$33, 25.6823, 25.6807) * CHOOSE(CONTROL!$C$16, $D$11, 100%, $F$11)</f>
        <v>25.682300000000001</v>
      </c>
      <c r="D791" s="8">
        <f>CHOOSE( CONTROL!$C$33, 25.7011, 25.6995) * CHOOSE( CONTROL!$C$16, $D$11, 100%, $F$11)</f>
        <v>25.7011</v>
      </c>
      <c r="E791" s="12">
        <f>CHOOSE( CONTROL!$C$33, 25.6931, 25.6915) * CHOOSE( CONTROL!$C$16, $D$11, 100%, $F$11)</f>
        <v>25.693100000000001</v>
      </c>
      <c r="F791" s="4">
        <f>CHOOSE( CONTROL!$C$33, 26.4019, 26.4003) * CHOOSE(CONTROL!$C$16, $D$11, 100%, $F$11)</f>
        <v>26.401900000000001</v>
      </c>
      <c r="G791" s="8">
        <f>CHOOSE( CONTROL!$C$33, 25.4028, 25.4012) * CHOOSE( CONTROL!$C$16, $D$11, 100%, $F$11)</f>
        <v>25.402799999999999</v>
      </c>
      <c r="H791" s="4">
        <f>CHOOSE( CONTROL!$C$33, 26.3394, 26.3377) * CHOOSE(CONTROL!$C$16, $D$11, 100%, $F$11)</f>
        <v>26.339400000000001</v>
      </c>
      <c r="I791" s="8">
        <f>CHOOSE( CONTROL!$C$33, 25.0442, 25.0425) * CHOOSE(CONTROL!$C$16, $D$11, 100%, $F$11)</f>
        <v>25.0442</v>
      </c>
      <c r="J791" s="4">
        <f>CHOOSE( CONTROL!$C$33, 24.9061, 24.9045) * CHOOSE(CONTROL!$C$16, $D$11, 100%, $F$11)</f>
        <v>24.906099999999999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1.2927</v>
      </c>
      <c r="Q791" s="9">
        <v>19.688099999999999</v>
      </c>
      <c r="R791" s="9"/>
      <c r="S791" s="11"/>
    </row>
    <row r="792" spans="1:19" ht="15.75">
      <c r="A792" s="13">
        <v>65258</v>
      </c>
      <c r="B792" s="8">
        <f>CHOOSE( CONTROL!$C$33, 23.6935, 23.6918) * CHOOSE(CONTROL!$C$16, $D$11, 100%, $F$11)</f>
        <v>23.6935</v>
      </c>
      <c r="C792" s="8">
        <f>CHOOSE( CONTROL!$C$33, 23.7015, 23.6998) * CHOOSE(CONTROL!$C$16, $D$11, 100%, $F$11)</f>
        <v>23.701499999999999</v>
      </c>
      <c r="D792" s="8">
        <f>CHOOSE( CONTROL!$C$33, 23.7203, 23.7187) * CHOOSE( CONTROL!$C$16, $D$11, 100%, $F$11)</f>
        <v>23.720300000000002</v>
      </c>
      <c r="E792" s="12">
        <f>CHOOSE( CONTROL!$C$33, 23.7123, 23.7106) * CHOOSE( CONTROL!$C$16, $D$11, 100%, $F$11)</f>
        <v>23.712299999999999</v>
      </c>
      <c r="F792" s="4">
        <f>CHOOSE( CONTROL!$C$33, 24.421, 24.4194) * CHOOSE(CONTROL!$C$16, $D$11, 100%, $F$11)</f>
        <v>24.420999999999999</v>
      </c>
      <c r="G792" s="8">
        <f>CHOOSE( CONTROL!$C$33, 23.4452, 23.4435) * CHOOSE( CONTROL!$C$16, $D$11, 100%, $F$11)</f>
        <v>23.4452</v>
      </c>
      <c r="H792" s="4">
        <f>CHOOSE( CONTROL!$C$33, 24.3817, 24.38) * CHOOSE(CONTROL!$C$16, $D$11, 100%, $F$11)</f>
        <v>24.381699999999999</v>
      </c>
      <c r="I792" s="8">
        <f>CHOOSE( CONTROL!$C$33, 23.121, 23.1194) * CHOOSE(CONTROL!$C$16, $D$11, 100%, $F$11)</f>
        <v>23.120999999999999</v>
      </c>
      <c r="J792" s="4">
        <f>CHOOSE( CONTROL!$C$33, 22.9837, 22.9821) * CHOOSE(CONTROL!$C$16, $D$11, 100%, $F$11)</f>
        <v>22.983699999999999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1.2927</v>
      </c>
      <c r="Q792" s="9">
        <v>19.688099999999999</v>
      </c>
      <c r="R792" s="9"/>
      <c r="S792" s="11"/>
    </row>
    <row r="793" spans="1:19" ht="15.75">
      <c r="A793" s="13">
        <v>65288</v>
      </c>
      <c r="B793" s="8">
        <f>CHOOSE( CONTROL!$C$33, 23.1974, 23.1958) * CHOOSE(CONTROL!$C$16, $D$11, 100%, $F$11)</f>
        <v>23.197399999999998</v>
      </c>
      <c r="C793" s="8">
        <f>CHOOSE( CONTROL!$C$33, 23.2054, 23.2038) * CHOOSE(CONTROL!$C$16, $D$11, 100%, $F$11)</f>
        <v>23.205400000000001</v>
      </c>
      <c r="D793" s="8">
        <f>CHOOSE( CONTROL!$C$33, 23.2242, 23.2225) * CHOOSE( CONTROL!$C$16, $D$11, 100%, $F$11)</f>
        <v>23.2242</v>
      </c>
      <c r="E793" s="12">
        <f>CHOOSE( CONTROL!$C$33, 23.2162, 23.2145) * CHOOSE( CONTROL!$C$16, $D$11, 100%, $F$11)</f>
        <v>23.216200000000001</v>
      </c>
      <c r="F793" s="4">
        <f>CHOOSE( CONTROL!$C$33, 23.925, 23.9233) * CHOOSE(CONTROL!$C$16, $D$11, 100%, $F$11)</f>
        <v>23.925000000000001</v>
      </c>
      <c r="G793" s="8">
        <f>CHOOSE( CONTROL!$C$33, 22.9549, 22.9532) * CHOOSE( CONTROL!$C$16, $D$11, 100%, $F$11)</f>
        <v>22.954899999999999</v>
      </c>
      <c r="H793" s="4">
        <f>CHOOSE( CONTROL!$C$33, 23.8915, 23.8898) * CHOOSE(CONTROL!$C$16, $D$11, 100%, $F$11)</f>
        <v>23.891500000000001</v>
      </c>
      <c r="I793" s="8">
        <f>CHOOSE( CONTROL!$C$33, 22.639, 22.6374) * CHOOSE(CONTROL!$C$16, $D$11, 100%, $F$11)</f>
        <v>22.638999999999999</v>
      </c>
      <c r="J793" s="4">
        <f>CHOOSE( CONTROL!$C$33, 22.5023, 22.5007) * CHOOSE(CONTROL!$C$16, $D$11, 100%, $F$11)</f>
        <v>22.502300000000002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1.2509999999999999</v>
      </c>
      <c r="Q793" s="9">
        <v>19.053000000000001</v>
      </c>
      <c r="R793" s="9"/>
      <c r="S793" s="11"/>
    </row>
    <row r="794" spans="1:19" ht="15.75">
      <c r="A794" s="13">
        <v>65319</v>
      </c>
      <c r="B794" s="8">
        <f>CHOOSE( CONTROL!$C$33, 24.2251, 24.224) * CHOOSE(CONTROL!$C$16, $D$11, 100%, $F$11)</f>
        <v>24.225100000000001</v>
      </c>
      <c r="C794" s="8">
        <f>CHOOSE( CONTROL!$C$33, 24.2304, 24.2293) * CHOOSE(CONTROL!$C$16, $D$11, 100%, $F$11)</f>
        <v>24.230399999999999</v>
      </c>
      <c r="D794" s="8">
        <f>CHOOSE( CONTROL!$C$33, 24.2548, 24.2537) * CHOOSE( CONTROL!$C$16, $D$11, 100%, $F$11)</f>
        <v>24.254799999999999</v>
      </c>
      <c r="E794" s="12">
        <f>CHOOSE( CONTROL!$C$33, 24.2462, 24.2451) * CHOOSE( CONTROL!$C$16, $D$11, 100%, $F$11)</f>
        <v>24.246200000000002</v>
      </c>
      <c r="F794" s="4">
        <f>CHOOSE( CONTROL!$C$33, 24.9544, 24.9533) * CHOOSE(CONTROL!$C$16, $D$11, 100%, $F$11)</f>
        <v>24.9544</v>
      </c>
      <c r="G794" s="8">
        <f>CHOOSE( CONTROL!$C$33, 23.9723, 23.9713) * CHOOSE( CONTROL!$C$16, $D$11, 100%, $F$11)</f>
        <v>23.972300000000001</v>
      </c>
      <c r="H794" s="4">
        <f>CHOOSE( CONTROL!$C$33, 24.9088, 24.9077) * CHOOSE(CONTROL!$C$16, $D$11, 100%, $F$11)</f>
        <v>24.908799999999999</v>
      </c>
      <c r="I794" s="8">
        <f>CHOOSE( CONTROL!$C$33, 23.6394, 23.6383) * CHOOSE(CONTROL!$C$16, $D$11, 100%, $F$11)</f>
        <v>23.639399999999998</v>
      </c>
      <c r="J794" s="4">
        <f>CHOOSE( CONTROL!$C$33, 23.5013, 23.5002) * CHOOSE(CONTROL!$C$16, $D$11, 100%, $F$11)</f>
        <v>23.501300000000001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1.2927</v>
      </c>
      <c r="Q794" s="9">
        <v>19.688099999999999</v>
      </c>
      <c r="R794" s="9"/>
      <c r="S794" s="11"/>
    </row>
    <row r="795" spans="1:19" ht="15.75">
      <c r="A795" s="13">
        <v>65349</v>
      </c>
      <c r="B795" s="8">
        <f>CHOOSE( CONTROL!$C$33, 26.1257, 26.1247) * CHOOSE(CONTROL!$C$16, $D$11, 100%, $F$11)</f>
        <v>26.125699999999998</v>
      </c>
      <c r="C795" s="8">
        <f>CHOOSE( CONTROL!$C$33, 26.1308, 26.1297) * CHOOSE(CONTROL!$C$16, $D$11, 100%, $F$11)</f>
        <v>26.130800000000001</v>
      </c>
      <c r="D795" s="8">
        <f>CHOOSE( CONTROL!$C$33, 26.1212, 26.1201) * CHOOSE( CONTROL!$C$16, $D$11, 100%, $F$11)</f>
        <v>26.121200000000002</v>
      </c>
      <c r="E795" s="12">
        <f>CHOOSE( CONTROL!$C$33, 26.1242, 26.1231) * CHOOSE( CONTROL!$C$16, $D$11, 100%, $F$11)</f>
        <v>26.124199999999998</v>
      </c>
      <c r="F795" s="4">
        <f>CHOOSE( CONTROL!$C$33, 26.7859, 26.7848) * CHOOSE(CONTROL!$C$16, $D$11, 100%, $F$11)</f>
        <v>26.785900000000002</v>
      </c>
      <c r="G795" s="8">
        <f>CHOOSE( CONTROL!$C$33, 25.8377, 25.8366) * CHOOSE( CONTROL!$C$16, $D$11, 100%, $F$11)</f>
        <v>25.837700000000002</v>
      </c>
      <c r="H795" s="4">
        <f>CHOOSE( CONTROL!$C$33, 26.7188, 26.7178) * CHOOSE(CONTROL!$C$16, $D$11, 100%, $F$11)</f>
        <v>26.718800000000002</v>
      </c>
      <c r="I795" s="8">
        <f>CHOOSE( CONTROL!$C$33, 25.5446, 25.5436) * CHOOSE(CONTROL!$C$16, $D$11, 100%, $F$11)</f>
        <v>25.544599999999999</v>
      </c>
      <c r="J795" s="4">
        <f>CHOOSE( CONTROL!$C$33, 25.3463, 25.3452) * CHOOSE(CONTROL!$C$16, $D$11, 100%, $F$11)</f>
        <v>25.346299999999999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65380</v>
      </c>
      <c r="B796" s="8">
        <f>CHOOSE( CONTROL!$C$33, 26.0782, 26.0772) * CHOOSE(CONTROL!$C$16, $D$11, 100%, $F$11)</f>
        <v>26.078199999999999</v>
      </c>
      <c r="C796" s="8">
        <f>CHOOSE( CONTROL!$C$33, 26.0833, 26.0822) * CHOOSE(CONTROL!$C$16, $D$11, 100%, $F$11)</f>
        <v>26.083300000000001</v>
      </c>
      <c r="D796" s="8">
        <f>CHOOSE( CONTROL!$C$33, 26.0751, 26.0741) * CHOOSE( CONTROL!$C$16, $D$11, 100%, $F$11)</f>
        <v>26.075099999999999</v>
      </c>
      <c r="E796" s="12">
        <f>CHOOSE( CONTROL!$C$33, 26.0776, 26.0765) * CHOOSE( CONTROL!$C$16, $D$11, 100%, $F$11)</f>
        <v>26.0776</v>
      </c>
      <c r="F796" s="4">
        <f>CHOOSE( CONTROL!$C$33, 26.7384, 26.7373) * CHOOSE(CONTROL!$C$16, $D$11, 100%, $F$11)</f>
        <v>26.738399999999999</v>
      </c>
      <c r="G796" s="8">
        <f>CHOOSE( CONTROL!$C$33, 25.7918, 25.7907) * CHOOSE( CONTROL!$C$16, $D$11, 100%, $F$11)</f>
        <v>25.791799999999999</v>
      </c>
      <c r="H796" s="4">
        <f>CHOOSE( CONTROL!$C$33, 26.6719, 26.6708) * CHOOSE(CONTROL!$C$16, $D$11, 100%, $F$11)</f>
        <v>26.671900000000001</v>
      </c>
      <c r="I796" s="8">
        <f>CHOOSE( CONTROL!$C$33, 25.503, 25.5019) * CHOOSE(CONTROL!$C$16, $D$11, 100%, $F$11)</f>
        <v>25.503</v>
      </c>
      <c r="J796" s="4">
        <f>CHOOSE( CONTROL!$C$33, 25.3002, 25.2991) * CHOOSE(CONTROL!$C$16, $D$11, 100%, $F$11)</f>
        <v>25.3002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65411</v>
      </c>
      <c r="B797" s="8">
        <f>CHOOSE( CONTROL!$C$33, 26.8472, 26.8461) * CHOOSE(CONTROL!$C$16, $D$11, 100%, $F$11)</f>
        <v>26.847200000000001</v>
      </c>
      <c r="C797" s="8">
        <f>CHOOSE( CONTROL!$C$33, 26.8523, 26.8512) * CHOOSE(CONTROL!$C$16, $D$11, 100%, $F$11)</f>
        <v>26.8523</v>
      </c>
      <c r="D797" s="8">
        <f>CHOOSE( CONTROL!$C$33, 26.8549, 26.8538) * CHOOSE( CONTROL!$C$16, $D$11, 100%, $F$11)</f>
        <v>26.854900000000001</v>
      </c>
      <c r="E797" s="12">
        <f>CHOOSE( CONTROL!$C$33, 26.8534, 26.8523) * CHOOSE( CONTROL!$C$16, $D$11, 100%, $F$11)</f>
        <v>26.853400000000001</v>
      </c>
      <c r="F797" s="4">
        <f>CHOOSE( CONTROL!$C$33, 27.5073, 27.5062) * CHOOSE(CONTROL!$C$16, $D$11, 100%, $F$11)</f>
        <v>27.507300000000001</v>
      </c>
      <c r="G797" s="8">
        <f>CHOOSE( CONTROL!$C$33, 26.5545, 26.5535) * CHOOSE( CONTROL!$C$16, $D$11, 100%, $F$11)</f>
        <v>26.554500000000001</v>
      </c>
      <c r="H797" s="4">
        <f>CHOOSE( CONTROL!$C$33, 27.4318, 27.4307) * CHOOSE(CONTROL!$C$16, $D$11, 100%, $F$11)</f>
        <v>27.431799999999999</v>
      </c>
      <c r="I797" s="8">
        <f>CHOOSE( CONTROL!$C$33, 26.2211, 26.22) * CHOOSE(CONTROL!$C$16, $D$11, 100%, $F$11)</f>
        <v>26.2211</v>
      </c>
      <c r="J797" s="4">
        <f>CHOOSE( CONTROL!$C$33, 26.0464, 26.0454) * CHOOSE(CONTROL!$C$16, $D$11, 100%, $F$11)</f>
        <v>26.046399999999998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65439</v>
      </c>
      <c r="B798" s="8">
        <f>CHOOSE( CONTROL!$C$33, 25.1122, 25.1111) * CHOOSE(CONTROL!$C$16, $D$11, 100%, $F$11)</f>
        <v>25.112200000000001</v>
      </c>
      <c r="C798" s="8">
        <f>CHOOSE( CONTROL!$C$33, 25.1173, 25.1162) * CHOOSE(CONTROL!$C$16, $D$11, 100%, $F$11)</f>
        <v>25.1173</v>
      </c>
      <c r="D798" s="8">
        <f>CHOOSE( CONTROL!$C$33, 25.1198, 25.1188) * CHOOSE( CONTROL!$C$16, $D$11, 100%, $F$11)</f>
        <v>25.119800000000001</v>
      </c>
      <c r="E798" s="12">
        <f>CHOOSE( CONTROL!$C$33, 25.1183, 25.1173) * CHOOSE( CONTROL!$C$16, $D$11, 100%, $F$11)</f>
        <v>25.118300000000001</v>
      </c>
      <c r="F798" s="4">
        <f>CHOOSE( CONTROL!$C$33, 25.7723, 25.7712) * CHOOSE(CONTROL!$C$16, $D$11, 100%, $F$11)</f>
        <v>25.772300000000001</v>
      </c>
      <c r="G798" s="8">
        <f>CHOOSE( CONTROL!$C$33, 24.8398, 24.8388) * CHOOSE( CONTROL!$C$16, $D$11, 100%, $F$11)</f>
        <v>24.8398</v>
      </c>
      <c r="H798" s="4">
        <f>CHOOSE( CONTROL!$C$33, 25.7172, 25.7161) * CHOOSE(CONTROL!$C$16, $D$11, 100%, $F$11)</f>
        <v>25.717199999999998</v>
      </c>
      <c r="I798" s="8">
        <f>CHOOSE( CONTROL!$C$33, 24.5362, 24.5351) * CHOOSE(CONTROL!$C$16, $D$11, 100%, $F$11)</f>
        <v>24.536200000000001</v>
      </c>
      <c r="J798" s="4">
        <f>CHOOSE( CONTROL!$C$33, 24.3626, 24.3616) * CHOOSE(CONTROL!$C$16, $D$11, 100%, $F$11)</f>
        <v>24.3626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65470</v>
      </c>
      <c r="B799" s="8">
        <f>CHOOSE( CONTROL!$C$33, 24.5778, 24.5768) * CHOOSE(CONTROL!$C$16, $D$11, 100%, $F$11)</f>
        <v>24.5778</v>
      </c>
      <c r="C799" s="8">
        <f>CHOOSE( CONTROL!$C$33, 24.5829, 24.5818) * CHOOSE(CONTROL!$C$16, $D$11, 100%, $F$11)</f>
        <v>24.582899999999999</v>
      </c>
      <c r="D799" s="8">
        <f>CHOOSE( CONTROL!$C$33, 24.5848, 24.5837) * CHOOSE( CONTROL!$C$16, $D$11, 100%, $F$11)</f>
        <v>24.584800000000001</v>
      </c>
      <c r="E799" s="12">
        <f>CHOOSE( CONTROL!$C$33, 24.5836, 24.5825) * CHOOSE( CONTROL!$C$16, $D$11, 100%, $F$11)</f>
        <v>24.583600000000001</v>
      </c>
      <c r="F799" s="4">
        <f>CHOOSE( CONTROL!$C$33, 25.238, 25.2369) * CHOOSE(CONTROL!$C$16, $D$11, 100%, $F$11)</f>
        <v>25.238</v>
      </c>
      <c r="G799" s="8">
        <f>CHOOSE( CONTROL!$C$33, 24.3112, 24.3102) * CHOOSE( CONTROL!$C$16, $D$11, 100%, $F$11)</f>
        <v>24.311199999999999</v>
      </c>
      <c r="H799" s="4">
        <f>CHOOSE( CONTROL!$C$33, 25.1891, 25.188) * CHOOSE(CONTROL!$C$16, $D$11, 100%, $F$11)</f>
        <v>25.1891</v>
      </c>
      <c r="I799" s="8">
        <f>CHOOSE( CONTROL!$C$33, 24.0152, 24.0141) * CHOOSE(CONTROL!$C$16, $D$11, 100%, $F$11)</f>
        <v>24.0152</v>
      </c>
      <c r="J799" s="4">
        <f>CHOOSE( CONTROL!$C$33, 23.844, 23.843) * CHOOSE(CONTROL!$C$16, $D$11, 100%, $F$11)</f>
        <v>23.844000000000001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65500</v>
      </c>
      <c r="B800" s="8">
        <f>CHOOSE( CONTROL!$C$33, 24.952, 24.9509) * CHOOSE(CONTROL!$C$16, $D$11, 100%, $F$11)</f>
        <v>24.952000000000002</v>
      </c>
      <c r="C800" s="8">
        <f>CHOOSE( CONTROL!$C$33, 24.9565, 24.9554) * CHOOSE(CONTROL!$C$16, $D$11, 100%, $F$11)</f>
        <v>24.956499999999998</v>
      </c>
      <c r="D800" s="8">
        <f>CHOOSE( CONTROL!$C$33, 24.9809, 24.9798) * CHOOSE( CONTROL!$C$16, $D$11, 100%, $F$11)</f>
        <v>24.980899999999998</v>
      </c>
      <c r="E800" s="12">
        <f>CHOOSE( CONTROL!$C$33, 24.9723, 24.9712) * CHOOSE( CONTROL!$C$16, $D$11, 100%, $F$11)</f>
        <v>24.972300000000001</v>
      </c>
      <c r="F800" s="4">
        <f>CHOOSE( CONTROL!$C$33, 25.6809, 25.6798) * CHOOSE(CONTROL!$C$16, $D$11, 100%, $F$11)</f>
        <v>25.680900000000001</v>
      </c>
      <c r="G800" s="8">
        <f>CHOOSE( CONTROL!$C$33, 24.69, 24.6889) * CHOOSE( CONTROL!$C$16, $D$11, 100%, $F$11)</f>
        <v>24.69</v>
      </c>
      <c r="H800" s="4">
        <f>CHOOSE( CONTROL!$C$33, 25.6268, 25.6258) * CHOOSE(CONTROL!$C$16, $D$11, 100%, $F$11)</f>
        <v>25.626799999999999</v>
      </c>
      <c r="I800" s="8">
        <f>CHOOSE( CONTROL!$C$33, 24.343, 24.3419) * CHOOSE(CONTROL!$C$16, $D$11, 100%, $F$11)</f>
        <v>24.343</v>
      </c>
      <c r="J800" s="4">
        <f>CHOOSE( CONTROL!$C$33, 24.2064, 24.2054) * CHOOSE(CONTROL!$C$16, $D$11, 100%, $F$11)</f>
        <v>24.206399999999999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1.2509999999999999</v>
      </c>
      <c r="Q800" s="9">
        <v>19.053000000000001</v>
      </c>
      <c r="R800" s="9"/>
      <c r="S800" s="11"/>
    </row>
    <row r="801" spans="1:19" ht="15.75">
      <c r="A801" s="13">
        <v>65531</v>
      </c>
      <c r="B801" s="8">
        <f>CHOOSE( CONTROL!$C$33, 25.6185, 25.6169) * CHOOSE(CONTROL!$C$16, $D$11, 100%, $F$11)</f>
        <v>25.618500000000001</v>
      </c>
      <c r="C801" s="8">
        <f>CHOOSE( CONTROL!$C$33, 25.6265, 25.6248) * CHOOSE(CONTROL!$C$16, $D$11, 100%, $F$11)</f>
        <v>25.6265</v>
      </c>
      <c r="D801" s="8">
        <f>CHOOSE( CONTROL!$C$33, 25.6448, 25.6431) * CHOOSE( CONTROL!$C$16, $D$11, 100%, $F$11)</f>
        <v>25.6448</v>
      </c>
      <c r="E801" s="12">
        <f>CHOOSE( CONTROL!$C$33, 25.6369, 25.6353) * CHOOSE( CONTROL!$C$16, $D$11, 100%, $F$11)</f>
        <v>25.636900000000001</v>
      </c>
      <c r="F801" s="4">
        <f>CHOOSE( CONTROL!$C$33, 26.3461, 26.3444) * CHOOSE(CONTROL!$C$16, $D$11, 100%, $F$11)</f>
        <v>26.3461</v>
      </c>
      <c r="G801" s="8">
        <f>CHOOSE( CONTROL!$C$33, 25.3472, 25.3456) * CHOOSE( CONTROL!$C$16, $D$11, 100%, $F$11)</f>
        <v>25.347200000000001</v>
      </c>
      <c r="H801" s="4">
        <f>CHOOSE( CONTROL!$C$33, 26.2842, 26.2825) * CHOOSE(CONTROL!$C$16, $D$11, 100%, $F$11)</f>
        <v>26.284199999999998</v>
      </c>
      <c r="I801" s="8">
        <f>CHOOSE( CONTROL!$C$33, 24.9882, 24.9866) * CHOOSE(CONTROL!$C$16, $D$11, 100%, $F$11)</f>
        <v>24.988199999999999</v>
      </c>
      <c r="J801" s="4">
        <f>CHOOSE( CONTROL!$C$33, 24.852, 24.8503) * CHOOSE(CONTROL!$C$16, $D$11, 100%, $F$11)</f>
        <v>24.852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1.2927</v>
      </c>
      <c r="Q801" s="9">
        <v>19.688099999999999</v>
      </c>
      <c r="R801" s="9"/>
      <c r="S801" s="11"/>
    </row>
    <row r="802" spans="1:19" ht="15.75">
      <c r="A802" s="13">
        <v>65561</v>
      </c>
      <c r="B802" s="8">
        <f>CHOOSE( CONTROL!$C$33, 25.2068, 25.2052) * CHOOSE(CONTROL!$C$16, $D$11, 100%, $F$11)</f>
        <v>25.206800000000001</v>
      </c>
      <c r="C802" s="8">
        <f>CHOOSE( CONTROL!$C$33, 25.2148, 25.2132) * CHOOSE(CONTROL!$C$16, $D$11, 100%, $F$11)</f>
        <v>25.2148</v>
      </c>
      <c r="D802" s="8">
        <f>CHOOSE( CONTROL!$C$33, 25.2334, 25.2317) * CHOOSE( CONTROL!$C$16, $D$11, 100%, $F$11)</f>
        <v>25.2334</v>
      </c>
      <c r="E802" s="12">
        <f>CHOOSE( CONTROL!$C$33, 25.2254, 25.2238) * CHOOSE( CONTROL!$C$16, $D$11, 100%, $F$11)</f>
        <v>25.2254</v>
      </c>
      <c r="F802" s="4">
        <f>CHOOSE( CONTROL!$C$33, 25.9344, 25.9327) * CHOOSE(CONTROL!$C$16, $D$11, 100%, $F$11)</f>
        <v>25.9344</v>
      </c>
      <c r="G802" s="8">
        <f>CHOOSE( CONTROL!$C$33, 24.9405, 24.9389) * CHOOSE( CONTROL!$C$16, $D$11, 100%, $F$11)</f>
        <v>24.9405</v>
      </c>
      <c r="H802" s="4">
        <f>CHOOSE( CONTROL!$C$33, 25.8773, 25.8757) * CHOOSE(CONTROL!$C$16, $D$11, 100%, $F$11)</f>
        <v>25.877300000000002</v>
      </c>
      <c r="I802" s="8">
        <f>CHOOSE( CONTROL!$C$33, 24.5893, 24.5877) * CHOOSE(CONTROL!$C$16, $D$11, 100%, $F$11)</f>
        <v>24.589300000000001</v>
      </c>
      <c r="J802" s="4">
        <f>CHOOSE( CONTROL!$C$33, 24.4524, 24.4508) * CHOOSE(CONTROL!$C$16, $D$11, 100%, $F$11)</f>
        <v>24.452400000000001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1.2509999999999999</v>
      </c>
      <c r="Q802" s="9">
        <v>19.053000000000001</v>
      </c>
      <c r="R802" s="9"/>
      <c r="S802" s="11"/>
    </row>
    <row r="803" spans="1:19" ht="15.75">
      <c r="A803" s="13">
        <v>65592</v>
      </c>
      <c r="B803" s="8">
        <f>CHOOSE( CONTROL!$C$33, 26.2909, 26.2893) * CHOOSE(CONTROL!$C$16, $D$11, 100%, $F$11)</f>
        <v>26.290900000000001</v>
      </c>
      <c r="C803" s="8">
        <f>CHOOSE( CONTROL!$C$33, 26.2989, 26.2973) * CHOOSE(CONTROL!$C$16, $D$11, 100%, $F$11)</f>
        <v>26.2989</v>
      </c>
      <c r="D803" s="8">
        <f>CHOOSE( CONTROL!$C$33, 26.3177, 26.3161) * CHOOSE( CONTROL!$C$16, $D$11, 100%, $F$11)</f>
        <v>26.317699999999999</v>
      </c>
      <c r="E803" s="12">
        <f>CHOOSE( CONTROL!$C$33, 26.3097, 26.3081) * CHOOSE( CONTROL!$C$16, $D$11, 100%, $F$11)</f>
        <v>26.309699999999999</v>
      </c>
      <c r="F803" s="4">
        <f>CHOOSE( CONTROL!$C$33, 27.0185, 27.0168) * CHOOSE(CONTROL!$C$16, $D$11, 100%, $F$11)</f>
        <v>27.0185</v>
      </c>
      <c r="G803" s="8">
        <f>CHOOSE( CONTROL!$C$33, 26.0122, 26.0105) * CHOOSE( CONTROL!$C$16, $D$11, 100%, $F$11)</f>
        <v>26.0122</v>
      </c>
      <c r="H803" s="4">
        <f>CHOOSE( CONTROL!$C$33, 26.9487, 26.9471) * CHOOSE(CONTROL!$C$16, $D$11, 100%, $F$11)</f>
        <v>26.948699999999999</v>
      </c>
      <c r="I803" s="8">
        <f>CHOOSE( CONTROL!$C$33, 25.6428, 25.6412) * CHOOSE(CONTROL!$C$16, $D$11, 100%, $F$11)</f>
        <v>25.642800000000001</v>
      </c>
      <c r="J803" s="4">
        <f>CHOOSE( CONTROL!$C$33, 25.5045, 25.5029) * CHOOSE(CONTROL!$C$16, $D$11, 100%, $F$11)</f>
        <v>25.5045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1.2927</v>
      </c>
      <c r="Q803" s="9">
        <v>19.688099999999999</v>
      </c>
      <c r="R803" s="9"/>
      <c r="S803" s="11"/>
    </row>
    <row r="804" spans="1:19" ht="15.75">
      <c r="A804" s="13">
        <v>65623</v>
      </c>
      <c r="B804" s="8">
        <f>CHOOSE( CONTROL!$C$33, 24.2625, 24.2608) * CHOOSE(CONTROL!$C$16, $D$11, 100%, $F$11)</f>
        <v>24.262499999999999</v>
      </c>
      <c r="C804" s="8">
        <f>CHOOSE( CONTROL!$C$33, 24.2704, 24.2688) * CHOOSE(CONTROL!$C$16, $D$11, 100%, $F$11)</f>
        <v>24.270399999999999</v>
      </c>
      <c r="D804" s="8">
        <f>CHOOSE( CONTROL!$C$33, 24.2893, 24.2877) * CHOOSE( CONTROL!$C$16, $D$11, 100%, $F$11)</f>
        <v>24.289300000000001</v>
      </c>
      <c r="E804" s="12">
        <f>CHOOSE( CONTROL!$C$33, 24.2812, 24.2796) * CHOOSE( CONTROL!$C$16, $D$11, 100%, $F$11)</f>
        <v>24.281199999999998</v>
      </c>
      <c r="F804" s="4">
        <f>CHOOSE( CONTROL!$C$33, 24.99, 24.9884) * CHOOSE(CONTROL!$C$16, $D$11, 100%, $F$11)</f>
        <v>24.99</v>
      </c>
      <c r="G804" s="8">
        <f>CHOOSE( CONTROL!$C$33, 24.0075, 24.0059) * CHOOSE( CONTROL!$C$16, $D$11, 100%, $F$11)</f>
        <v>24.0075</v>
      </c>
      <c r="H804" s="4">
        <f>CHOOSE( CONTROL!$C$33, 24.944, 24.9424) * CHOOSE(CONTROL!$C$16, $D$11, 100%, $F$11)</f>
        <v>24.943999999999999</v>
      </c>
      <c r="I804" s="8">
        <f>CHOOSE( CONTROL!$C$33, 23.6735, 23.6719) * CHOOSE(CONTROL!$C$16, $D$11, 100%, $F$11)</f>
        <v>23.673500000000001</v>
      </c>
      <c r="J804" s="4">
        <f>CHOOSE( CONTROL!$C$33, 23.5359, 23.5343) * CHOOSE(CONTROL!$C$16, $D$11, 100%, $F$11)</f>
        <v>23.535900000000002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1.2927</v>
      </c>
      <c r="Q804" s="9">
        <v>19.688099999999999</v>
      </c>
      <c r="R804" s="9"/>
      <c r="S804" s="11"/>
    </row>
    <row r="805" spans="1:19" ht="15.75">
      <c r="A805" s="13">
        <v>65653</v>
      </c>
      <c r="B805" s="8">
        <f>CHOOSE( CONTROL!$C$33, 23.7545, 23.7529) * CHOOSE(CONTROL!$C$16, $D$11, 100%, $F$11)</f>
        <v>23.7545</v>
      </c>
      <c r="C805" s="8">
        <f>CHOOSE( CONTROL!$C$33, 23.7625, 23.7608) * CHOOSE(CONTROL!$C$16, $D$11, 100%, $F$11)</f>
        <v>23.762499999999999</v>
      </c>
      <c r="D805" s="8">
        <f>CHOOSE( CONTROL!$C$33, 23.7812, 23.7796) * CHOOSE( CONTROL!$C$16, $D$11, 100%, $F$11)</f>
        <v>23.781199999999998</v>
      </c>
      <c r="E805" s="12">
        <f>CHOOSE( CONTROL!$C$33, 23.7732, 23.7716) * CHOOSE( CONTROL!$C$16, $D$11, 100%, $F$11)</f>
        <v>23.773199999999999</v>
      </c>
      <c r="F805" s="4">
        <f>CHOOSE( CONTROL!$C$33, 24.4821, 24.4804) * CHOOSE(CONTROL!$C$16, $D$11, 100%, $F$11)</f>
        <v>24.482099999999999</v>
      </c>
      <c r="G805" s="8">
        <f>CHOOSE( CONTROL!$C$33, 23.5054, 23.5038) * CHOOSE( CONTROL!$C$16, $D$11, 100%, $F$11)</f>
        <v>23.505400000000002</v>
      </c>
      <c r="H805" s="4">
        <f>CHOOSE( CONTROL!$C$33, 24.442, 24.4404) * CHOOSE(CONTROL!$C$16, $D$11, 100%, $F$11)</f>
        <v>24.442</v>
      </c>
      <c r="I805" s="8">
        <f>CHOOSE( CONTROL!$C$33, 23.1799, 23.1783) * CHOOSE(CONTROL!$C$16, $D$11, 100%, $F$11)</f>
        <v>23.1799</v>
      </c>
      <c r="J805" s="4">
        <f>CHOOSE( CONTROL!$C$33, 23.0429, 23.0413) * CHOOSE(CONTROL!$C$16, $D$11, 100%, $F$11)</f>
        <v>23.042899999999999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1.2509999999999999</v>
      </c>
      <c r="Q805" s="9">
        <v>19.053000000000001</v>
      </c>
      <c r="R805" s="9"/>
      <c r="S805" s="11"/>
    </row>
    <row r="806" spans="1:19" ht="15.75">
      <c r="A806" s="13">
        <v>65684</v>
      </c>
      <c r="B806" s="8">
        <f>CHOOSE( CONTROL!$C$33, 24.8069, 24.8058) * CHOOSE(CONTROL!$C$16, $D$11, 100%, $F$11)</f>
        <v>24.806899999999999</v>
      </c>
      <c r="C806" s="8">
        <f>CHOOSE( CONTROL!$C$33, 24.8122, 24.8111) * CHOOSE(CONTROL!$C$16, $D$11, 100%, $F$11)</f>
        <v>24.812200000000001</v>
      </c>
      <c r="D806" s="8">
        <f>CHOOSE( CONTROL!$C$33, 24.8366, 24.8356) * CHOOSE( CONTROL!$C$16, $D$11, 100%, $F$11)</f>
        <v>24.836600000000001</v>
      </c>
      <c r="E806" s="12">
        <f>CHOOSE( CONTROL!$C$33, 24.828, 24.8269) * CHOOSE( CONTROL!$C$16, $D$11, 100%, $F$11)</f>
        <v>24.827999999999999</v>
      </c>
      <c r="F806" s="4">
        <f>CHOOSE( CONTROL!$C$33, 25.5362, 25.5351) * CHOOSE(CONTROL!$C$16, $D$11, 100%, $F$11)</f>
        <v>25.536200000000001</v>
      </c>
      <c r="G806" s="8">
        <f>CHOOSE( CONTROL!$C$33, 24.5473, 24.5463) * CHOOSE( CONTROL!$C$16, $D$11, 100%, $F$11)</f>
        <v>24.5473</v>
      </c>
      <c r="H806" s="4">
        <f>CHOOSE( CONTROL!$C$33, 25.4838, 25.4827) * CHOOSE(CONTROL!$C$16, $D$11, 100%, $F$11)</f>
        <v>25.483799999999999</v>
      </c>
      <c r="I806" s="8">
        <f>CHOOSE( CONTROL!$C$33, 24.2043, 24.2033) * CHOOSE(CONTROL!$C$16, $D$11, 100%, $F$11)</f>
        <v>24.2043</v>
      </c>
      <c r="J806" s="4">
        <f>CHOOSE( CONTROL!$C$33, 24.0659, 24.0649) * CHOOSE(CONTROL!$C$16, $D$11, 100%, $F$11)</f>
        <v>24.065899999999999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1.2927</v>
      </c>
      <c r="Q806" s="9">
        <v>19.688099999999999</v>
      </c>
      <c r="R806" s="9"/>
      <c r="S806" s="11"/>
    </row>
    <row r="807" spans="1:19" ht="15.75">
      <c r="A807" s="13">
        <v>65714</v>
      </c>
      <c r="B807" s="8">
        <f>CHOOSE( CONTROL!$C$33, 26.7532, 26.7522) * CHOOSE(CONTROL!$C$16, $D$11, 100%, $F$11)</f>
        <v>26.7532</v>
      </c>
      <c r="C807" s="8">
        <f>CHOOSE( CONTROL!$C$33, 26.7583, 26.7572) * CHOOSE(CONTROL!$C$16, $D$11, 100%, $F$11)</f>
        <v>26.758299999999998</v>
      </c>
      <c r="D807" s="8">
        <f>CHOOSE( CONTROL!$C$33, 26.7487, 26.7476) * CHOOSE( CONTROL!$C$16, $D$11, 100%, $F$11)</f>
        <v>26.748699999999999</v>
      </c>
      <c r="E807" s="12">
        <f>CHOOSE( CONTROL!$C$33, 26.7517, 26.7506) * CHOOSE( CONTROL!$C$16, $D$11, 100%, $F$11)</f>
        <v>26.7517</v>
      </c>
      <c r="F807" s="4">
        <f>CHOOSE( CONTROL!$C$33, 27.4134, 27.4123) * CHOOSE(CONTROL!$C$16, $D$11, 100%, $F$11)</f>
        <v>27.413399999999999</v>
      </c>
      <c r="G807" s="8">
        <f>CHOOSE( CONTROL!$C$33, 26.4578, 26.4568) * CHOOSE( CONTROL!$C$16, $D$11, 100%, $F$11)</f>
        <v>26.457799999999999</v>
      </c>
      <c r="H807" s="4">
        <f>CHOOSE( CONTROL!$C$33, 27.339, 27.3379) * CHOOSE(CONTROL!$C$16, $D$11, 100%, $F$11)</f>
        <v>27.338999999999999</v>
      </c>
      <c r="I807" s="8">
        <f>CHOOSE( CONTROL!$C$33, 26.1539, 26.1529) * CHOOSE(CONTROL!$C$16, $D$11, 100%, $F$11)</f>
        <v>26.1539</v>
      </c>
      <c r="J807" s="4">
        <f>CHOOSE( CONTROL!$C$33, 25.9553, 25.9542) * CHOOSE(CONTROL!$C$16, $D$11, 100%, $F$11)</f>
        <v>25.955300000000001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65745</v>
      </c>
      <c r="B808" s="8">
        <f>CHOOSE( CONTROL!$C$33, 26.7046, 26.7035) * CHOOSE(CONTROL!$C$16, $D$11, 100%, $F$11)</f>
        <v>26.704599999999999</v>
      </c>
      <c r="C808" s="8">
        <f>CHOOSE( CONTROL!$C$33, 26.7097, 26.7086) * CHOOSE(CONTROL!$C$16, $D$11, 100%, $F$11)</f>
        <v>26.709700000000002</v>
      </c>
      <c r="D808" s="8">
        <f>CHOOSE( CONTROL!$C$33, 26.7015, 26.7004) * CHOOSE( CONTROL!$C$16, $D$11, 100%, $F$11)</f>
        <v>26.701499999999999</v>
      </c>
      <c r="E808" s="12">
        <f>CHOOSE( CONTROL!$C$33, 26.704, 26.7029) * CHOOSE( CONTROL!$C$16, $D$11, 100%, $F$11)</f>
        <v>26.704000000000001</v>
      </c>
      <c r="F808" s="4">
        <f>CHOOSE( CONTROL!$C$33, 27.3647, 27.3636) * CHOOSE(CONTROL!$C$16, $D$11, 100%, $F$11)</f>
        <v>27.364699999999999</v>
      </c>
      <c r="G808" s="8">
        <f>CHOOSE( CONTROL!$C$33, 26.4108, 26.4097) * CHOOSE( CONTROL!$C$16, $D$11, 100%, $F$11)</f>
        <v>26.410799999999998</v>
      </c>
      <c r="H808" s="4">
        <f>CHOOSE( CONTROL!$C$33, 27.2909, 27.2898) * CHOOSE(CONTROL!$C$16, $D$11, 100%, $F$11)</f>
        <v>27.290900000000001</v>
      </c>
      <c r="I808" s="8">
        <f>CHOOSE( CONTROL!$C$33, 26.1111, 26.1101) * CHOOSE(CONTROL!$C$16, $D$11, 100%, $F$11)</f>
        <v>26.1111</v>
      </c>
      <c r="J808" s="4">
        <f>CHOOSE( CONTROL!$C$33, 25.9081, 25.907) * CHOOSE(CONTROL!$C$16, $D$11, 100%, $F$11)</f>
        <v>25.908100000000001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65776</v>
      </c>
      <c r="B809" s="8">
        <f>CHOOSE( CONTROL!$C$33, 27.492, 27.4909) * CHOOSE(CONTROL!$C$16, $D$11, 100%, $F$11)</f>
        <v>27.492000000000001</v>
      </c>
      <c r="C809" s="8">
        <f>CHOOSE( CONTROL!$C$33, 27.4971, 27.496) * CHOOSE(CONTROL!$C$16, $D$11, 100%, $F$11)</f>
        <v>27.4971</v>
      </c>
      <c r="D809" s="8">
        <f>CHOOSE( CONTROL!$C$33, 27.4997, 27.4986) * CHOOSE( CONTROL!$C$16, $D$11, 100%, $F$11)</f>
        <v>27.499700000000001</v>
      </c>
      <c r="E809" s="12">
        <f>CHOOSE( CONTROL!$C$33, 27.4982, 27.4971) * CHOOSE( CONTROL!$C$16, $D$11, 100%, $F$11)</f>
        <v>27.498200000000001</v>
      </c>
      <c r="F809" s="4">
        <f>CHOOSE( CONTROL!$C$33, 28.1521, 28.151) * CHOOSE(CONTROL!$C$16, $D$11, 100%, $F$11)</f>
        <v>28.152100000000001</v>
      </c>
      <c r="G809" s="8">
        <f>CHOOSE( CONTROL!$C$33, 27.1918, 27.1907) * CHOOSE( CONTROL!$C$16, $D$11, 100%, $F$11)</f>
        <v>27.191800000000001</v>
      </c>
      <c r="H809" s="4">
        <f>CHOOSE( CONTROL!$C$33, 28.0691, 28.068) * CHOOSE(CONTROL!$C$16, $D$11, 100%, $F$11)</f>
        <v>28.069099999999999</v>
      </c>
      <c r="I809" s="8">
        <f>CHOOSE( CONTROL!$C$33, 26.8472, 26.8461) * CHOOSE(CONTROL!$C$16, $D$11, 100%, $F$11)</f>
        <v>26.847200000000001</v>
      </c>
      <c r="J809" s="4">
        <f>CHOOSE( CONTROL!$C$33, 26.6722, 26.6712) * CHOOSE(CONTROL!$C$16, $D$11, 100%, $F$11)</f>
        <v>26.6722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65805</v>
      </c>
      <c r="B810" s="8">
        <f>CHOOSE( CONTROL!$C$33, 25.7153, 25.7143) * CHOOSE(CONTROL!$C$16, $D$11, 100%, $F$11)</f>
        <v>25.715299999999999</v>
      </c>
      <c r="C810" s="8">
        <f>CHOOSE( CONTROL!$C$33, 25.7204, 25.7193) * CHOOSE(CONTROL!$C$16, $D$11, 100%, $F$11)</f>
        <v>25.720400000000001</v>
      </c>
      <c r="D810" s="8">
        <f>CHOOSE( CONTROL!$C$33, 25.723, 25.7219) * CHOOSE( CONTROL!$C$16, $D$11, 100%, $F$11)</f>
        <v>25.722999999999999</v>
      </c>
      <c r="E810" s="12">
        <f>CHOOSE( CONTROL!$C$33, 25.7215, 25.7204) * CHOOSE( CONTROL!$C$16, $D$11, 100%, $F$11)</f>
        <v>25.721499999999999</v>
      </c>
      <c r="F810" s="4">
        <f>CHOOSE( CONTROL!$C$33, 26.3755, 26.3744) * CHOOSE(CONTROL!$C$16, $D$11, 100%, $F$11)</f>
        <v>26.375499999999999</v>
      </c>
      <c r="G810" s="8">
        <f>CHOOSE( CONTROL!$C$33, 25.4359, 25.4348) * CHOOSE( CONTROL!$C$16, $D$11, 100%, $F$11)</f>
        <v>25.4359</v>
      </c>
      <c r="H810" s="4">
        <f>CHOOSE( CONTROL!$C$33, 26.3132, 26.3122) * CHOOSE(CONTROL!$C$16, $D$11, 100%, $F$11)</f>
        <v>26.313199999999998</v>
      </c>
      <c r="I810" s="8">
        <f>CHOOSE( CONTROL!$C$33, 25.1218, 25.1208) * CHOOSE(CONTROL!$C$16, $D$11, 100%, $F$11)</f>
        <v>25.1218</v>
      </c>
      <c r="J810" s="4">
        <f>CHOOSE( CONTROL!$C$33, 24.948, 24.9469) * CHOOSE(CONTROL!$C$16, $D$11, 100%, $F$11)</f>
        <v>24.948</v>
      </c>
      <c r="K810" s="4"/>
      <c r="L810" s="9">
        <v>27.415299999999998</v>
      </c>
      <c r="M810" s="9">
        <v>11.285299999999999</v>
      </c>
      <c r="N810" s="9">
        <v>4.6254999999999997</v>
      </c>
      <c r="O810" s="9">
        <v>0.34989999999999999</v>
      </c>
      <c r="P810" s="9">
        <v>1.2093</v>
      </c>
      <c r="Q810" s="9">
        <v>18.417899999999999</v>
      </c>
      <c r="R810" s="9"/>
      <c r="S810" s="11"/>
    </row>
    <row r="811" spans="1:19" ht="15.75">
      <c r="A811" s="13">
        <v>65836</v>
      </c>
      <c r="B811" s="8">
        <f>CHOOSE( CONTROL!$C$33, 25.1681, 25.1671) * CHOOSE(CONTROL!$C$16, $D$11, 100%, $F$11)</f>
        <v>25.168099999999999</v>
      </c>
      <c r="C811" s="8">
        <f>CHOOSE( CONTROL!$C$33, 25.1732, 25.1721) * CHOOSE(CONTROL!$C$16, $D$11, 100%, $F$11)</f>
        <v>25.173200000000001</v>
      </c>
      <c r="D811" s="8">
        <f>CHOOSE( CONTROL!$C$33, 25.1751, 25.174) * CHOOSE( CONTROL!$C$16, $D$11, 100%, $F$11)</f>
        <v>25.1751</v>
      </c>
      <c r="E811" s="12">
        <f>CHOOSE( CONTROL!$C$33, 25.1739, 25.1728) * CHOOSE( CONTROL!$C$16, $D$11, 100%, $F$11)</f>
        <v>25.1739</v>
      </c>
      <c r="F811" s="4">
        <f>CHOOSE( CONTROL!$C$33, 25.8283, 25.8272) * CHOOSE(CONTROL!$C$16, $D$11, 100%, $F$11)</f>
        <v>25.828299999999999</v>
      </c>
      <c r="G811" s="8">
        <f>CHOOSE( CONTROL!$C$33, 24.8946, 24.8935) * CHOOSE( CONTROL!$C$16, $D$11, 100%, $F$11)</f>
        <v>24.894600000000001</v>
      </c>
      <c r="H811" s="4">
        <f>CHOOSE( CONTROL!$C$33, 25.7724, 25.7714) * CHOOSE(CONTROL!$C$16, $D$11, 100%, $F$11)</f>
        <v>25.772400000000001</v>
      </c>
      <c r="I811" s="8">
        <f>CHOOSE( CONTROL!$C$33, 24.5883, 24.5873) * CHOOSE(CONTROL!$C$16, $D$11, 100%, $F$11)</f>
        <v>24.5883</v>
      </c>
      <c r="J811" s="4">
        <f>CHOOSE( CONTROL!$C$33, 24.4169, 24.4159) * CHOOSE(CONTROL!$C$16, $D$11, 100%, $F$11)</f>
        <v>24.416899999999998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65866</v>
      </c>
      <c r="B812" s="8">
        <f>CHOOSE( CONTROL!$C$33, 25.5513, 25.5502) * CHOOSE(CONTROL!$C$16, $D$11, 100%, $F$11)</f>
        <v>25.551300000000001</v>
      </c>
      <c r="C812" s="8">
        <f>CHOOSE( CONTROL!$C$33, 25.5558, 25.5547) * CHOOSE(CONTROL!$C$16, $D$11, 100%, $F$11)</f>
        <v>25.555800000000001</v>
      </c>
      <c r="D812" s="8">
        <f>CHOOSE( CONTROL!$C$33, 25.5801, 25.5791) * CHOOSE( CONTROL!$C$16, $D$11, 100%, $F$11)</f>
        <v>25.580100000000002</v>
      </c>
      <c r="E812" s="12">
        <f>CHOOSE( CONTROL!$C$33, 25.5716, 25.5705) * CHOOSE( CONTROL!$C$16, $D$11, 100%, $F$11)</f>
        <v>25.5716</v>
      </c>
      <c r="F812" s="4">
        <f>CHOOSE( CONTROL!$C$33, 26.2802, 26.2791) * CHOOSE(CONTROL!$C$16, $D$11, 100%, $F$11)</f>
        <v>26.280200000000001</v>
      </c>
      <c r="G812" s="8">
        <f>CHOOSE( CONTROL!$C$33, 25.2822, 25.2811) * CHOOSE( CONTROL!$C$16, $D$11, 100%, $F$11)</f>
        <v>25.2822</v>
      </c>
      <c r="H812" s="4">
        <f>CHOOSE( CONTROL!$C$33, 26.2191, 26.218) * CHOOSE(CONTROL!$C$16, $D$11, 100%, $F$11)</f>
        <v>26.219100000000001</v>
      </c>
      <c r="I812" s="8">
        <f>CHOOSE( CONTROL!$C$33, 24.9249, 24.9238) * CHOOSE(CONTROL!$C$16, $D$11, 100%, $F$11)</f>
        <v>24.924900000000001</v>
      </c>
      <c r="J812" s="4">
        <f>CHOOSE( CONTROL!$C$33, 24.788, 24.787) * CHOOSE(CONTROL!$C$16, $D$11, 100%, $F$11)</f>
        <v>24.788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1.2509999999999999</v>
      </c>
      <c r="Q812" s="9">
        <v>19.053000000000001</v>
      </c>
      <c r="R812" s="9"/>
      <c r="S812" s="11"/>
    </row>
    <row r="813" spans="1:19" ht="15.75">
      <c r="A813" s="13">
        <v>65897</v>
      </c>
      <c r="B813" s="8">
        <f>CHOOSE( CONTROL!$C$33, 26.2338, 26.2321) * CHOOSE(CONTROL!$C$16, $D$11, 100%, $F$11)</f>
        <v>26.233799999999999</v>
      </c>
      <c r="C813" s="8">
        <f>CHOOSE( CONTROL!$C$33, 26.2417, 26.2401) * CHOOSE(CONTROL!$C$16, $D$11, 100%, $F$11)</f>
        <v>26.241700000000002</v>
      </c>
      <c r="D813" s="8">
        <f>CHOOSE( CONTROL!$C$33, 26.26, 26.2584) * CHOOSE( CONTROL!$C$16, $D$11, 100%, $F$11)</f>
        <v>26.26</v>
      </c>
      <c r="E813" s="12">
        <f>CHOOSE( CONTROL!$C$33, 26.2522, 26.2505) * CHOOSE( CONTROL!$C$16, $D$11, 100%, $F$11)</f>
        <v>26.252199999999998</v>
      </c>
      <c r="F813" s="4">
        <f>CHOOSE( CONTROL!$C$33, 26.9613, 26.9597) * CHOOSE(CONTROL!$C$16, $D$11, 100%, $F$11)</f>
        <v>26.961300000000001</v>
      </c>
      <c r="G813" s="8">
        <f>CHOOSE( CONTROL!$C$33, 25.9552, 25.9536) * CHOOSE( CONTROL!$C$16, $D$11, 100%, $F$11)</f>
        <v>25.955200000000001</v>
      </c>
      <c r="H813" s="4">
        <f>CHOOSE( CONTROL!$C$33, 26.8922, 26.8906) * CHOOSE(CONTROL!$C$16, $D$11, 100%, $F$11)</f>
        <v>26.892199999999999</v>
      </c>
      <c r="I813" s="8">
        <f>CHOOSE( CONTROL!$C$33, 25.5856, 25.584) * CHOOSE(CONTROL!$C$16, $D$11, 100%, $F$11)</f>
        <v>25.585599999999999</v>
      </c>
      <c r="J813" s="4">
        <f>CHOOSE( CONTROL!$C$33, 25.449, 25.4474) * CHOOSE(CONTROL!$C$16, $D$11, 100%, $F$11)</f>
        <v>25.449000000000002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1.2927</v>
      </c>
      <c r="Q813" s="9">
        <v>19.688099999999999</v>
      </c>
      <c r="R813" s="9"/>
      <c r="S813" s="11"/>
    </row>
    <row r="814" spans="1:19" ht="15.75">
      <c r="A814" s="13">
        <v>65927</v>
      </c>
      <c r="B814" s="8">
        <f>CHOOSE( CONTROL!$C$33, 25.8122, 25.8105) * CHOOSE(CONTROL!$C$16, $D$11, 100%, $F$11)</f>
        <v>25.812200000000001</v>
      </c>
      <c r="C814" s="8">
        <f>CHOOSE( CONTROL!$C$33, 25.8202, 25.8185) * CHOOSE(CONTROL!$C$16, $D$11, 100%, $F$11)</f>
        <v>25.8202</v>
      </c>
      <c r="D814" s="8">
        <f>CHOOSE( CONTROL!$C$33, 25.8387, 25.837) * CHOOSE( CONTROL!$C$16, $D$11, 100%, $F$11)</f>
        <v>25.838699999999999</v>
      </c>
      <c r="E814" s="12">
        <f>CHOOSE( CONTROL!$C$33, 25.8308, 25.8291) * CHOOSE( CONTROL!$C$16, $D$11, 100%, $F$11)</f>
        <v>25.8308</v>
      </c>
      <c r="F814" s="4">
        <f>CHOOSE( CONTROL!$C$33, 26.5397, 26.5381) * CHOOSE(CONTROL!$C$16, $D$11, 100%, $F$11)</f>
        <v>26.5397</v>
      </c>
      <c r="G814" s="8">
        <f>CHOOSE( CONTROL!$C$33, 25.5388, 25.5372) * CHOOSE( CONTROL!$C$16, $D$11, 100%, $F$11)</f>
        <v>25.538799999999998</v>
      </c>
      <c r="H814" s="4">
        <f>CHOOSE( CONTROL!$C$33, 26.4756, 26.4739) * CHOOSE(CONTROL!$C$16, $D$11, 100%, $F$11)</f>
        <v>26.4756</v>
      </c>
      <c r="I814" s="8">
        <f>CHOOSE( CONTROL!$C$33, 25.1771, 25.1755) * CHOOSE(CONTROL!$C$16, $D$11, 100%, $F$11)</f>
        <v>25.177099999999999</v>
      </c>
      <c r="J814" s="4">
        <f>CHOOSE( CONTROL!$C$33, 25.0399, 25.0383) * CHOOSE(CONTROL!$C$16, $D$11, 100%, $F$11)</f>
        <v>25.039899999999999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1.2509999999999999</v>
      </c>
      <c r="Q814" s="9">
        <v>19.053000000000001</v>
      </c>
      <c r="R814" s="9"/>
      <c r="S814" s="11"/>
    </row>
    <row r="815" spans="1:19" ht="15.75">
      <c r="A815" s="13">
        <v>65958</v>
      </c>
      <c r="B815" s="8">
        <f>CHOOSE( CONTROL!$C$33, 26.9223, 26.9207) * CHOOSE(CONTROL!$C$16, $D$11, 100%, $F$11)</f>
        <v>26.9223</v>
      </c>
      <c r="C815" s="8">
        <f>CHOOSE( CONTROL!$C$33, 26.9303, 26.9287) * CHOOSE(CONTROL!$C$16, $D$11, 100%, $F$11)</f>
        <v>26.930299999999999</v>
      </c>
      <c r="D815" s="8">
        <f>CHOOSE( CONTROL!$C$33, 26.9491, 26.9475) * CHOOSE( CONTROL!$C$16, $D$11, 100%, $F$11)</f>
        <v>26.949100000000001</v>
      </c>
      <c r="E815" s="12">
        <f>CHOOSE( CONTROL!$C$33, 26.9411, 26.9395) * CHOOSE( CONTROL!$C$16, $D$11, 100%, $F$11)</f>
        <v>26.941099999999999</v>
      </c>
      <c r="F815" s="4">
        <f>CHOOSE( CONTROL!$C$33, 27.6499, 27.6482) * CHOOSE(CONTROL!$C$16, $D$11, 100%, $F$11)</f>
        <v>27.649899999999999</v>
      </c>
      <c r="G815" s="8">
        <f>CHOOSE( CONTROL!$C$33, 26.6362, 26.6345) * CHOOSE( CONTROL!$C$16, $D$11, 100%, $F$11)</f>
        <v>26.636199999999999</v>
      </c>
      <c r="H815" s="4">
        <f>CHOOSE( CONTROL!$C$33, 27.5727, 27.5711) * CHOOSE(CONTROL!$C$16, $D$11, 100%, $F$11)</f>
        <v>27.572700000000001</v>
      </c>
      <c r="I815" s="8">
        <f>CHOOSE( CONTROL!$C$33, 26.2559, 26.2543) * CHOOSE(CONTROL!$C$16, $D$11, 100%, $F$11)</f>
        <v>26.2559</v>
      </c>
      <c r="J815" s="4">
        <f>CHOOSE( CONTROL!$C$33, 26.1173, 26.1157) * CHOOSE(CONTROL!$C$16, $D$11, 100%, $F$11)</f>
        <v>26.1173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1.2927</v>
      </c>
      <c r="Q815" s="9">
        <v>19.688099999999999</v>
      </c>
      <c r="R815" s="9"/>
      <c r="S815" s="11"/>
    </row>
    <row r="816" spans="1:19" ht="15.75">
      <c r="A816" s="13">
        <v>65989</v>
      </c>
      <c r="B816" s="8">
        <f>CHOOSE( CONTROL!$C$33, 24.8451, 24.8435) * CHOOSE(CONTROL!$C$16, $D$11, 100%, $F$11)</f>
        <v>24.845099999999999</v>
      </c>
      <c r="C816" s="8">
        <f>CHOOSE( CONTROL!$C$33, 24.8531, 24.8514) * CHOOSE(CONTROL!$C$16, $D$11, 100%, $F$11)</f>
        <v>24.853100000000001</v>
      </c>
      <c r="D816" s="8">
        <f>CHOOSE( CONTROL!$C$33, 24.872, 24.8703) * CHOOSE( CONTROL!$C$16, $D$11, 100%, $F$11)</f>
        <v>24.872</v>
      </c>
      <c r="E816" s="12">
        <f>CHOOSE( CONTROL!$C$33, 24.8639, 24.8622) * CHOOSE( CONTROL!$C$16, $D$11, 100%, $F$11)</f>
        <v>24.863900000000001</v>
      </c>
      <c r="F816" s="4">
        <f>CHOOSE( CONTROL!$C$33, 25.5727, 25.571) * CHOOSE(CONTROL!$C$16, $D$11, 100%, $F$11)</f>
        <v>25.572700000000001</v>
      </c>
      <c r="G816" s="8">
        <f>CHOOSE( CONTROL!$C$33, 24.5833, 24.5817) * CHOOSE( CONTROL!$C$16, $D$11, 100%, $F$11)</f>
        <v>24.583300000000001</v>
      </c>
      <c r="H816" s="4">
        <f>CHOOSE( CONTROL!$C$33, 25.5198, 25.5182) * CHOOSE(CONTROL!$C$16, $D$11, 100%, $F$11)</f>
        <v>25.5198</v>
      </c>
      <c r="I816" s="8">
        <f>CHOOSE( CONTROL!$C$33, 24.2392, 24.2376) * CHOOSE(CONTROL!$C$16, $D$11, 100%, $F$11)</f>
        <v>24.2392</v>
      </c>
      <c r="J816" s="4">
        <f>CHOOSE( CONTROL!$C$33, 24.1014, 24.0998) * CHOOSE(CONTROL!$C$16, $D$11, 100%, $F$11)</f>
        <v>24.101400000000002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1.2927</v>
      </c>
      <c r="Q816" s="9">
        <v>19.688099999999999</v>
      </c>
      <c r="R816" s="9"/>
      <c r="S816" s="11"/>
    </row>
    <row r="817" spans="1:19" ht="15.75">
      <c r="A817" s="13">
        <v>66019</v>
      </c>
      <c r="B817" s="8">
        <f>CHOOSE( CONTROL!$C$33, 24.325, 24.3233) * CHOOSE(CONTROL!$C$16, $D$11, 100%, $F$11)</f>
        <v>24.324999999999999</v>
      </c>
      <c r="C817" s="8">
        <f>CHOOSE( CONTROL!$C$33, 24.3329, 24.3313) * CHOOSE(CONTROL!$C$16, $D$11, 100%, $F$11)</f>
        <v>24.332899999999999</v>
      </c>
      <c r="D817" s="8">
        <f>CHOOSE( CONTROL!$C$33, 24.3517, 24.35) * CHOOSE( CONTROL!$C$16, $D$11, 100%, $F$11)</f>
        <v>24.351700000000001</v>
      </c>
      <c r="E817" s="12">
        <f>CHOOSE( CONTROL!$C$33, 24.3437, 24.342) * CHOOSE( CONTROL!$C$16, $D$11, 100%, $F$11)</f>
        <v>24.343699999999998</v>
      </c>
      <c r="F817" s="4">
        <f>CHOOSE( CONTROL!$C$33, 25.0525, 25.0509) * CHOOSE(CONTROL!$C$16, $D$11, 100%, $F$11)</f>
        <v>25.052499999999998</v>
      </c>
      <c r="G817" s="8">
        <f>CHOOSE( CONTROL!$C$33, 24.0692, 24.0675) * CHOOSE( CONTROL!$C$16, $D$11, 100%, $F$11)</f>
        <v>24.069199999999999</v>
      </c>
      <c r="H817" s="4">
        <f>CHOOSE( CONTROL!$C$33, 25.0058, 25.0041) * CHOOSE(CONTROL!$C$16, $D$11, 100%, $F$11)</f>
        <v>25.005800000000001</v>
      </c>
      <c r="I817" s="8">
        <f>CHOOSE( CONTROL!$C$33, 23.7338, 23.7322) * CHOOSE(CONTROL!$C$16, $D$11, 100%, $F$11)</f>
        <v>23.733799999999999</v>
      </c>
      <c r="J817" s="4">
        <f>CHOOSE( CONTROL!$C$33, 23.5966, 23.5949) * CHOOSE(CONTROL!$C$16, $D$11, 100%, $F$11)</f>
        <v>23.596599999999999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1.2509999999999999</v>
      </c>
      <c r="Q817" s="9">
        <v>19.053000000000001</v>
      </c>
      <c r="R817" s="9"/>
      <c r="S817" s="11"/>
    </row>
    <row r="818" spans="1:19" ht="15.75">
      <c r="A818" s="13">
        <v>66050</v>
      </c>
      <c r="B818" s="8">
        <f>CHOOSE( CONTROL!$C$33, 25.4027, 25.4016) * CHOOSE(CONTROL!$C$16, $D$11, 100%, $F$11)</f>
        <v>25.402699999999999</v>
      </c>
      <c r="C818" s="8">
        <f>CHOOSE( CONTROL!$C$33, 25.408, 25.4069) * CHOOSE(CONTROL!$C$16, $D$11, 100%, $F$11)</f>
        <v>25.408000000000001</v>
      </c>
      <c r="D818" s="8">
        <f>CHOOSE( CONTROL!$C$33, 25.4324, 25.4314) * CHOOSE( CONTROL!$C$16, $D$11, 100%, $F$11)</f>
        <v>25.432400000000001</v>
      </c>
      <c r="E818" s="12">
        <f>CHOOSE( CONTROL!$C$33, 25.4238, 25.4227) * CHOOSE( CONTROL!$C$16, $D$11, 100%, $F$11)</f>
        <v>25.4238</v>
      </c>
      <c r="F818" s="4">
        <f>CHOOSE( CONTROL!$C$33, 26.132, 26.1309) * CHOOSE(CONTROL!$C$16, $D$11, 100%, $F$11)</f>
        <v>26.132000000000001</v>
      </c>
      <c r="G818" s="8">
        <f>CHOOSE( CONTROL!$C$33, 25.1362, 25.1351) * CHOOSE( CONTROL!$C$16, $D$11, 100%, $F$11)</f>
        <v>25.136199999999999</v>
      </c>
      <c r="H818" s="4">
        <f>CHOOSE( CONTROL!$C$33, 26.0726, 26.0715) * CHOOSE(CONTROL!$C$16, $D$11, 100%, $F$11)</f>
        <v>26.072600000000001</v>
      </c>
      <c r="I818" s="8">
        <f>CHOOSE( CONTROL!$C$33, 24.7828, 24.7818) * CHOOSE(CONTROL!$C$16, $D$11, 100%, $F$11)</f>
        <v>24.782800000000002</v>
      </c>
      <c r="J818" s="4">
        <f>CHOOSE( CONTROL!$C$33, 24.6442, 24.6431) * CHOOSE(CONTROL!$C$16, $D$11, 100%, $F$11)</f>
        <v>24.644200000000001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1.2927</v>
      </c>
      <c r="Q818" s="9">
        <v>19.688099999999999</v>
      </c>
      <c r="R818" s="9"/>
      <c r="S818" s="11"/>
    </row>
    <row r="819" spans="1:19" ht="15.75">
      <c r="A819" s="13">
        <v>66080</v>
      </c>
      <c r="B819" s="8">
        <f>CHOOSE( CONTROL!$C$33, 27.3958, 27.3947) * CHOOSE(CONTROL!$C$16, $D$11, 100%, $F$11)</f>
        <v>27.395800000000001</v>
      </c>
      <c r="C819" s="8">
        <f>CHOOSE( CONTROL!$C$33, 27.4009, 27.3998) * CHOOSE(CONTROL!$C$16, $D$11, 100%, $F$11)</f>
        <v>27.4009</v>
      </c>
      <c r="D819" s="8">
        <f>CHOOSE( CONTROL!$C$33, 27.3913, 27.3902) * CHOOSE( CONTROL!$C$16, $D$11, 100%, $F$11)</f>
        <v>27.391300000000001</v>
      </c>
      <c r="E819" s="12">
        <f>CHOOSE( CONTROL!$C$33, 27.3943, 27.3932) * CHOOSE( CONTROL!$C$16, $D$11, 100%, $F$11)</f>
        <v>27.394300000000001</v>
      </c>
      <c r="F819" s="4">
        <f>CHOOSE( CONTROL!$C$33, 28.0559, 28.0549) * CHOOSE(CONTROL!$C$16, $D$11, 100%, $F$11)</f>
        <v>28.055900000000001</v>
      </c>
      <c r="G819" s="8">
        <f>CHOOSE( CONTROL!$C$33, 27.0929, 27.0918) * CHOOSE( CONTROL!$C$16, $D$11, 100%, $F$11)</f>
        <v>27.0929</v>
      </c>
      <c r="H819" s="4">
        <f>CHOOSE( CONTROL!$C$33, 27.974, 27.973) * CHOOSE(CONTROL!$C$16, $D$11, 100%, $F$11)</f>
        <v>27.974</v>
      </c>
      <c r="I819" s="8">
        <f>CHOOSE( CONTROL!$C$33, 26.7779, 26.7768) * CHOOSE(CONTROL!$C$16, $D$11, 100%, $F$11)</f>
        <v>26.777899999999999</v>
      </c>
      <c r="J819" s="4">
        <f>CHOOSE( CONTROL!$C$33, 26.5789, 26.5778) * CHOOSE(CONTROL!$C$16, $D$11, 100%, $F$11)</f>
        <v>26.578900000000001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66111</v>
      </c>
      <c r="B820" s="8">
        <f>CHOOSE( CONTROL!$C$33, 27.346, 27.3449) * CHOOSE(CONTROL!$C$16, $D$11, 100%, $F$11)</f>
        <v>27.346</v>
      </c>
      <c r="C820" s="8">
        <f>CHOOSE( CONTROL!$C$33, 27.3511, 27.35) * CHOOSE(CONTROL!$C$16, $D$11, 100%, $F$11)</f>
        <v>27.351099999999999</v>
      </c>
      <c r="D820" s="8">
        <f>CHOOSE( CONTROL!$C$33, 27.3429, 27.3418) * CHOOSE( CONTROL!$C$16, $D$11, 100%, $F$11)</f>
        <v>27.3429</v>
      </c>
      <c r="E820" s="12">
        <f>CHOOSE( CONTROL!$C$33, 27.3454, 27.3443) * CHOOSE( CONTROL!$C$16, $D$11, 100%, $F$11)</f>
        <v>27.345400000000001</v>
      </c>
      <c r="F820" s="4">
        <f>CHOOSE( CONTROL!$C$33, 28.0061, 28.005) * CHOOSE(CONTROL!$C$16, $D$11, 100%, $F$11)</f>
        <v>28.0061</v>
      </c>
      <c r="G820" s="8">
        <f>CHOOSE( CONTROL!$C$33, 27.0447, 27.0436) * CHOOSE( CONTROL!$C$16, $D$11, 100%, $F$11)</f>
        <v>27.044699999999999</v>
      </c>
      <c r="H820" s="4">
        <f>CHOOSE( CONTROL!$C$33, 27.9248, 27.9237) * CHOOSE(CONTROL!$C$16, $D$11, 100%, $F$11)</f>
        <v>27.924800000000001</v>
      </c>
      <c r="I820" s="8">
        <f>CHOOSE( CONTROL!$C$33, 26.7339, 26.7329) * CHOOSE(CONTROL!$C$16, $D$11, 100%, $F$11)</f>
        <v>26.733899999999998</v>
      </c>
      <c r="J820" s="4">
        <f>CHOOSE( CONTROL!$C$33, 26.5305, 26.5295) * CHOOSE(CONTROL!$C$16, $D$11, 100%, $F$11)</f>
        <v>26.5305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66142</v>
      </c>
      <c r="B821" s="8">
        <f>CHOOSE( CONTROL!$C$33, 28.1523, 28.1512) * CHOOSE(CONTROL!$C$16, $D$11, 100%, $F$11)</f>
        <v>28.1523</v>
      </c>
      <c r="C821" s="8">
        <f>CHOOSE( CONTROL!$C$33, 28.1574, 28.1563) * CHOOSE(CONTROL!$C$16, $D$11, 100%, $F$11)</f>
        <v>28.157399999999999</v>
      </c>
      <c r="D821" s="8">
        <f>CHOOSE( CONTROL!$C$33, 28.16, 28.159) * CHOOSE( CONTROL!$C$16, $D$11, 100%, $F$11)</f>
        <v>28.16</v>
      </c>
      <c r="E821" s="12">
        <f>CHOOSE( CONTROL!$C$33, 28.1585, 28.1575) * CHOOSE( CONTROL!$C$16, $D$11, 100%, $F$11)</f>
        <v>28.1585</v>
      </c>
      <c r="F821" s="4">
        <f>CHOOSE( CONTROL!$C$33, 28.8125, 28.8114) * CHOOSE(CONTROL!$C$16, $D$11, 100%, $F$11)</f>
        <v>28.8125</v>
      </c>
      <c r="G821" s="8">
        <f>CHOOSE( CONTROL!$C$33, 27.8444, 27.8433) * CHOOSE( CONTROL!$C$16, $D$11, 100%, $F$11)</f>
        <v>27.8444</v>
      </c>
      <c r="H821" s="4">
        <f>CHOOSE( CONTROL!$C$33, 28.7217, 28.7206) * CHOOSE(CONTROL!$C$16, $D$11, 100%, $F$11)</f>
        <v>28.721699999999998</v>
      </c>
      <c r="I821" s="8">
        <f>CHOOSE( CONTROL!$C$33, 27.4883, 27.4873) * CHOOSE(CONTROL!$C$16, $D$11, 100%, $F$11)</f>
        <v>27.488299999999999</v>
      </c>
      <c r="J821" s="4">
        <f>CHOOSE( CONTROL!$C$33, 27.3131, 27.312) * CHOOSE(CONTROL!$C$16, $D$11, 100%, $F$11)</f>
        <v>27.313099999999999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66170</v>
      </c>
      <c r="B822" s="8">
        <f>CHOOSE( CONTROL!$C$33, 26.333, 26.3319) * CHOOSE(CONTROL!$C$16, $D$11, 100%, $F$11)</f>
        <v>26.332999999999998</v>
      </c>
      <c r="C822" s="8">
        <f>CHOOSE( CONTROL!$C$33, 26.3381, 26.337) * CHOOSE(CONTROL!$C$16, $D$11, 100%, $F$11)</f>
        <v>26.338100000000001</v>
      </c>
      <c r="D822" s="8">
        <f>CHOOSE( CONTROL!$C$33, 26.3406, 26.3395) * CHOOSE( CONTROL!$C$16, $D$11, 100%, $F$11)</f>
        <v>26.340599999999998</v>
      </c>
      <c r="E822" s="12">
        <f>CHOOSE( CONTROL!$C$33, 26.3391, 26.338) * CHOOSE( CONTROL!$C$16, $D$11, 100%, $F$11)</f>
        <v>26.339099999999998</v>
      </c>
      <c r="F822" s="4">
        <f>CHOOSE( CONTROL!$C$33, 26.9931, 26.992) * CHOOSE(CONTROL!$C$16, $D$11, 100%, $F$11)</f>
        <v>26.993099999999998</v>
      </c>
      <c r="G822" s="8">
        <f>CHOOSE( CONTROL!$C$33, 26.0463, 26.0452) * CHOOSE( CONTROL!$C$16, $D$11, 100%, $F$11)</f>
        <v>26.046299999999999</v>
      </c>
      <c r="H822" s="4">
        <f>CHOOSE( CONTROL!$C$33, 26.9236, 26.9226) * CHOOSE(CONTROL!$C$16, $D$11, 100%, $F$11)</f>
        <v>26.9236</v>
      </c>
      <c r="I822" s="8">
        <f>CHOOSE( CONTROL!$C$33, 25.7215, 25.7205) * CHOOSE(CONTROL!$C$16, $D$11, 100%, $F$11)</f>
        <v>25.721499999999999</v>
      </c>
      <c r="J822" s="4">
        <f>CHOOSE( CONTROL!$C$33, 25.5474, 25.5463) * CHOOSE(CONTROL!$C$16, $D$11, 100%, $F$11)</f>
        <v>25.5474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66201</v>
      </c>
      <c r="B823" s="8">
        <f>CHOOSE( CONTROL!$C$33, 25.7726, 25.7715) * CHOOSE(CONTROL!$C$16, $D$11, 100%, $F$11)</f>
        <v>25.772600000000001</v>
      </c>
      <c r="C823" s="8">
        <f>CHOOSE( CONTROL!$C$33, 25.7777, 25.7766) * CHOOSE(CONTROL!$C$16, $D$11, 100%, $F$11)</f>
        <v>25.777699999999999</v>
      </c>
      <c r="D823" s="8">
        <f>CHOOSE( CONTROL!$C$33, 25.7796, 25.7785) * CHOOSE( CONTROL!$C$16, $D$11, 100%, $F$11)</f>
        <v>25.779599999999999</v>
      </c>
      <c r="E823" s="12">
        <f>CHOOSE( CONTROL!$C$33, 25.7784, 25.7773) * CHOOSE( CONTROL!$C$16, $D$11, 100%, $F$11)</f>
        <v>25.778400000000001</v>
      </c>
      <c r="F823" s="4">
        <f>CHOOSE( CONTROL!$C$33, 26.4328, 26.4317) * CHOOSE(CONTROL!$C$16, $D$11, 100%, $F$11)</f>
        <v>26.4328</v>
      </c>
      <c r="G823" s="8">
        <f>CHOOSE( CONTROL!$C$33, 25.492, 25.4909) * CHOOSE( CONTROL!$C$16, $D$11, 100%, $F$11)</f>
        <v>25.492000000000001</v>
      </c>
      <c r="H823" s="4">
        <f>CHOOSE( CONTROL!$C$33, 26.3698, 26.3688) * CHOOSE(CONTROL!$C$16, $D$11, 100%, $F$11)</f>
        <v>26.369800000000001</v>
      </c>
      <c r="I823" s="8">
        <f>CHOOSE( CONTROL!$C$33, 25.1753, 25.1742) * CHOOSE(CONTROL!$C$16, $D$11, 100%, $F$11)</f>
        <v>25.1753</v>
      </c>
      <c r="J823" s="4">
        <f>CHOOSE( CONTROL!$C$33, 25.0036, 25.0025) * CHOOSE(CONTROL!$C$16, $D$11, 100%, $F$11)</f>
        <v>25.003599999999999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66231</v>
      </c>
      <c r="B824" s="8">
        <f>CHOOSE( CONTROL!$C$33, 26.165, 26.1639) * CHOOSE(CONTROL!$C$16, $D$11, 100%, $F$11)</f>
        <v>26.164999999999999</v>
      </c>
      <c r="C824" s="8">
        <f>CHOOSE( CONTROL!$C$33, 26.1695, 26.1684) * CHOOSE(CONTROL!$C$16, $D$11, 100%, $F$11)</f>
        <v>26.169499999999999</v>
      </c>
      <c r="D824" s="8">
        <f>CHOOSE( CONTROL!$C$33, 26.1938, 26.1927) * CHOOSE( CONTROL!$C$16, $D$11, 100%, $F$11)</f>
        <v>26.1938</v>
      </c>
      <c r="E824" s="12">
        <f>CHOOSE( CONTROL!$C$33, 26.1853, 26.1842) * CHOOSE( CONTROL!$C$16, $D$11, 100%, $F$11)</f>
        <v>26.185300000000002</v>
      </c>
      <c r="F824" s="4">
        <f>CHOOSE( CONTROL!$C$33, 26.8939, 26.8928) * CHOOSE(CONTROL!$C$16, $D$11, 100%, $F$11)</f>
        <v>26.893899999999999</v>
      </c>
      <c r="G824" s="8">
        <f>CHOOSE( CONTROL!$C$33, 25.8887, 25.8876) * CHOOSE( CONTROL!$C$16, $D$11, 100%, $F$11)</f>
        <v>25.8887</v>
      </c>
      <c r="H824" s="4">
        <f>CHOOSE( CONTROL!$C$33, 26.8256, 26.8245) * CHOOSE(CONTROL!$C$16, $D$11, 100%, $F$11)</f>
        <v>26.825600000000001</v>
      </c>
      <c r="I824" s="8">
        <f>CHOOSE( CONTROL!$C$33, 25.5207, 25.5197) * CHOOSE(CONTROL!$C$16, $D$11, 100%, $F$11)</f>
        <v>25.520700000000001</v>
      </c>
      <c r="J824" s="4">
        <f>CHOOSE( CONTROL!$C$33, 25.3836, 25.3825) * CHOOSE(CONTROL!$C$16, $D$11, 100%, $F$11)</f>
        <v>25.383600000000001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1.2509999999999999</v>
      </c>
      <c r="Q824" s="9">
        <v>19.053000000000001</v>
      </c>
      <c r="R824" s="9"/>
      <c r="S824" s="11"/>
    </row>
    <row r="825" spans="1:19" ht="15.75">
      <c r="A825" s="13">
        <v>66262</v>
      </c>
      <c r="B825" s="8">
        <f>CHOOSE( CONTROL!$C$33, 26.8638, 26.8621) * CHOOSE(CONTROL!$C$16, $D$11, 100%, $F$11)</f>
        <v>26.863800000000001</v>
      </c>
      <c r="C825" s="8">
        <f>CHOOSE( CONTROL!$C$33, 26.8718, 26.8701) * CHOOSE(CONTROL!$C$16, $D$11, 100%, $F$11)</f>
        <v>26.8718</v>
      </c>
      <c r="D825" s="8">
        <f>CHOOSE( CONTROL!$C$33, 26.8901, 26.8884) * CHOOSE( CONTROL!$C$16, $D$11, 100%, $F$11)</f>
        <v>26.8901</v>
      </c>
      <c r="E825" s="12">
        <f>CHOOSE( CONTROL!$C$33, 26.8822, 26.8805) * CHOOSE( CONTROL!$C$16, $D$11, 100%, $F$11)</f>
        <v>26.882200000000001</v>
      </c>
      <c r="F825" s="4">
        <f>CHOOSE( CONTROL!$C$33, 27.5913, 27.5897) * CHOOSE(CONTROL!$C$16, $D$11, 100%, $F$11)</f>
        <v>27.5913</v>
      </c>
      <c r="G825" s="8">
        <f>CHOOSE( CONTROL!$C$33, 26.5779, 26.5763) * CHOOSE( CONTROL!$C$16, $D$11, 100%, $F$11)</f>
        <v>26.5779</v>
      </c>
      <c r="H825" s="4">
        <f>CHOOSE( CONTROL!$C$33, 27.5149, 27.5132) * CHOOSE(CONTROL!$C$16, $D$11, 100%, $F$11)</f>
        <v>27.514900000000001</v>
      </c>
      <c r="I825" s="8">
        <f>CHOOSE( CONTROL!$C$33, 26.1974, 26.1958) * CHOOSE(CONTROL!$C$16, $D$11, 100%, $F$11)</f>
        <v>26.197399999999998</v>
      </c>
      <c r="J825" s="4">
        <f>CHOOSE( CONTROL!$C$33, 26.0605, 26.0589) * CHOOSE(CONTROL!$C$16, $D$11, 100%, $F$11)</f>
        <v>26.060500000000001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1.2927</v>
      </c>
      <c r="Q825" s="9">
        <v>19.688099999999999</v>
      </c>
      <c r="R825" s="9"/>
      <c r="S825" s="11"/>
    </row>
    <row r="826" spans="1:19" ht="15.75">
      <c r="A826" s="13">
        <v>66292</v>
      </c>
      <c r="B826" s="8">
        <f>CHOOSE( CONTROL!$C$33, 26.4321, 26.4304) * CHOOSE(CONTROL!$C$16, $D$11, 100%, $F$11)</f>
        <v>26.432099999999998</v>
      </c>
      <c r="C826" s="8">
        <f>CHOOSE( CONTROL!$C$33, 26.4401, 26.4384) * CHOOSE(CONTROL!$C$16, $D$11, 100%, $F$11)</f>
        <v>26.440100000000001</v>
      </c>
      <c r="D826" s="8">
        <f>CHOOSE( CONTROL!$C$33, 26.4586, 26.4569) * CHOOSE( CONTROL!$C$16, $D$11, 100%, $F$11)</f>
        <v>26.458600000000001</v>
      </c>
      <c r="E826" s="12">
        <f>CHOOSE( CONTROL!$C$33, 26.4507, 26.449) * CHOOSE( CONTROL!$C$16, $D$11, 100%, $F$11)</f>
        <v>26.450700000000001</v>
      </c>
      <c r="F826" s="4">
        <f>CHOOSE( CONTROL!$C$33, 27.1596, 27.158) * CHOOSE(CONTROL!$C$16, $D$11, 100%, $F$11)</f>
        <v>27.159600000000001</v>
      </c>
      <c r="G826" s="8">
        <f>CHOOSE( CONTROL!$C$33, 26.1514, 26.1498) * CHOOSE( CONTROL!$C$16, $D$11, 100%, $F$11)</f>
        <v>26.151399999999999</v>
      </c>
      <c r="H826" s="4">
        <f>CHOOSE( CONTROL!$C$33, 27.0882, 27.0866) * CHOOSE(CONTROL!$C$16, $D$11, 100%, $F$11)</f>
        <v>27.088200000000001</v>
      </c>
      <c r="I826" s="8">
        <f>CHOOSE( CONTROL!$C$33, 25.779, 25.7774) * CHOOSE(CONTROL!$C$16, $D$11, 100%, $F$11)</f>
        <v>25.779</v>
      </c>
      <c r="J826" s="4">
        <f>CHOOSE( CONTROL!$C$33, 25.6415, 25.6399) * CHOOSE(CONTROL!$C$16, $D$11, 100%, $F$11)</f>
        <v>25.641500000000001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1.2509999999999999</v>
      </c>
      <c r="Q826" s="9">
        <v>19.053000000000001</v>
      </c>
      <c r="R826" s="9"/>
      <c r="S826" s="11"/>
    </row>
    <row r="827" spans="1:19" ht="15.75">
      <c r="A827" s="13">
        <v>66323</v>
      </c>
      <c r="B827" s="8">
        <f>CHOOSE( CONTROL!$C$33, 27.5689, 27.5673) * CHOOSE(CONTROL!$C$16, $D$11, 100%, $F$11)</f>
        <v>27.568899999999999</v>
      </c>
      <c r="C827" s="8">
        <f>CHOOSE( CONTROL!$C$33, 27.5769, 27.5752) * CHOOSE(CONTROL!$C$16, $D$11, 100%, $F$11)</f>
        <v>27.576899999999998</v>
      </c>
      <c r="D827" s="8">
        <f>CHOOSE( CONTROL!$C$33, 27.5957, 27.594) * CHOOSE( CONTROL!$C$16, $D$11, 100%, $F$11)</f>
        <v>27.595700000000001</v>
      </c>
      <c r="E827" s="12">
        <f>CHOOSE( CONTROL!$C$33, 27.5877, 27.586) * CHOOSE( CONTROL!$C$16, $D$11, 100%, $F$11)</f>
        <v>27.587700000000002</v>
      </c>
      <c r="F827" s="4">
        <f>CHOOSE( CONTROL!$C$33, 28.2965, 28.2948) * CHOOSE(CONTROL!$C$16, $D$11, 100%, $F$11)</f>
        <v>28.296500000000002</v>
      </c>
      <c r="G827" s="8">
        <f>CHOOSE( CONTROL!$C$33, 27.2752, 27.2735) * CHOOSE( CONTROL!$C$16, $D$11, 100%, $F$11)</f>
        <v>27.275200000000002</v>
      </c>
      <c r="H827" s="4">
        <f>CHOOSE( CONTROL!$C$33, 28.2117, 28.2101) * CHOOSE(CONTROL!$C$16, $D$11, 100%, $F$11)</f>
        <v>28.2117</v>
      </c>
      <c r="I827" s="8">
        <f>CHOOSE( CONTROL!$C$33, 26.8837, 26.8821) * CHOOSE(CONTROL!$C$16, $D$11, 100%, $F$11)</f>
        <v>26.883700000000001</v>
      </c>
      <c r="J827" s="4">
        <f>CHOOSE( CONTROL!$C$33, 26.7448, 26.7432) * CHOOSE(CONTROL!$C$16, $D$11, 100%, $F$11)</f>
        <v>26.744800000000001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1.2927</v>
      </c>
      <c r="Q827" s="9">
        <v>19.688099999999999</v>
      </c>
      <c r="R827" s="9"/>
      <c r="S827" s="11"/>
    </row>
    <row r="828" spans="1:19" ht="15.75">
      <c r="A828" s="13">
        <v>66354</v>
      </c>
      <c r="B828" s="8">
        <f>CHOOSE( CONTROL!$C$33, 25.4418, 25.4401) * CHOOSE(CONTROL!$C$16, $D$11, 100%, $F$11)</f>
        <v>25.441800000000001</v>
      </c>
      <c r="C828" s="8">
        <f>CHOOSE( CONTROL!$C$33, 25.4498, 25.4481) * CHOOSE(CONTROL!$C$16, $D$11, 100%, $F$11)</f>
        <v>25.4498</v>
      </c>
      <c r="D828" s="8">
        <f>CHOOSE( CONTROL!$C$33, 25.4686, 25.467) * CHOOSE( CONTROL!$C$16, $D$11, 100%, $F$11)</f>
        <v>25.468599999999999</v>
      </c>
      <c r="E828" s="12">
        <f>CHOOSE( CONTROL!$C$33, 25.4606, 25.4589) * CHOOSE( CONTROL!$C$16, $D$11, 100%, $F$11)</f>
        <v>25.460599999999999</v>
      </c>
      <c r="F828" s="4">
        <f>CHOOSE( CONTROL!$C$33, 26.1693, 26.1677) * CHOOSE(CONTROL!$C$16, $D$11, 100%, $F$11)</f>
        <v>26.1693</v>
      </c>
      <c r="G828" s="8">
        <f>CHOOSE( CONTROL!$C$33, 25.173, 25.1714) * CHOOSE( CONTROL!$C$16, $D$11, 100%, $F$11)</f>
        <v>25.172999999999998</v>
      </c>
      <c r="H828" s="4">
        <f>CHOOSE( CONTROL!$C$33, 26.1095, 26.1079) * CHOOSE(CONTROL!$C$16, $D$11, 100%, $F$11)</f>
        <v>26.109500000000001</v>
      </c>
      <c r="I828" s="8">
        <f>CHOOSE( CONTROL!$C$33, 24.8186, 24.817) * CHOOSE(CONTROL!$C$16, $D$11, 100%, $F$11)</f>
        <v>24.8186</v>
      </c>
      <c r="J828" s="4">
        <f>CHOOSE( CONTROL!$C$33, 24.6804, 24.6788) * CHOOSE(CONTROL!$C$16, $D$11, 100%, $F$11)</f>
        <v>24.680399999999999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1.2927</v>
      </c>
      <c r="Q828" s="9">
        <v>19.688099999999999</v>
      </c>
      <c r="R828" s="9"/>
      <c r="S828" s="11"/>
    </row>
    <row r="829" spans="1:19" ht="15.75">
      <c r="A829" s="13">
        <v>66384</v>
      </c>
      <c r="B829" s="8">
        <f>CHOOSE( CONTROL!$C$33, 24.9091, 24.9075) * CHOOSE(CONTROL!$C$16, $D$11, 100%, $F$11)</f>
        <v>24.909099999999999</v>
      </c>
      <c r="C829" s="8">
        <f>CHOOSE( CONTROL!$C$33, 24.9171, 24.9154) * CHOOSE(CONTROL!$C$16, $D$11, 100%, $F$11)</f>
        <v>24.917100000000001</v>
      </c>
      <c r="D829" s="8">
        <f>CHOOSE( CONTROL!$C$33, 24.9359, 24.9342) * CHOOSE( CONTROL!$C$16, $D$11, 100%, $F$11)</f>
        <v>24.9359</v>
      </c>
      <c r="E829" s="12">
        <f>CHOOSE( CONTROL!$C$33, 24.9279, 24.9262) * CHOOSE( CONTROL!$C$16, $D$11, 100%, $F$11)</f>
        <v>24.927900000000001</v>
      </c>
      <c r="F829" s="4">
        <f>CHOOSE( CONTROL!$C$33, 25.6367, 25.635) * CHOOSE(CONTROL!$C$16, $D$11, 100%, $F$11)</f>
        <v>25.636700000000001</v>
      </c>
      <c r="G829" s="8">
        <f>CHOOSE( CONTROL!$C$33, 24.6465, 24.6449) * CHOOSE( CONTROL!$C$16, $D$11, 100%, $F$11)</f>
        <v>24.6465</v>
      </c>
      <c r="H829" s="4">
        <f>CHOOSE( CONTROL!$C$33, 25.5831, 25.5814) * CHOOSE(CONTROL!$C$16, $D$11, 100%, $F$11)</f>
        <v>25.583100000000002</v>
      </c>
      <c r="I829" s="8">
        <f>CHOOSE( CONTROL!$C$33, 24.301, 24.2994) * CHOOSE(CONTROL!$C$16, $D$11, 100%, $F$11)</f>
        <v>24.300999999999998</v>
      </c>
      <c r="J829" s="4">
        <f>CHOOSE( CONTROL!$C$33, 24.1635, 24.1619) * CHOOSE(CONTROL!$C$16, $D$11, 100%, $F$11)</f>
        <v>24.163499999999999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1.2509999999999999</v>
      </c>
      <c r="Q829" s="9">
        <v>19.053000000000001</v>
      </c>
      <c r="R829" s="9"/>
      <c r="S829" s="11"/>
    </row>
    <row r="830" spans="1:19" ht="15.75">
      <c r="A830" s="13">
        <v>66415</v>
      </c>
      <c r="B830" s="8">
        <f>CHOOSE( CONTROL!$C$33, 26.0128, 26.0117) * CHOOSE(CONTROL!$C$16, $D$11, 100%, $F$11)</f>
        <v>26.012799999999999</v>
      </c>
      <c r="C830" s="8">
        <f>CHOOSE( CONTROL!$C$33, 26.0181, 26.017) * CHOOSE(CONTROL!$C$16, $D$11, 100%, $F$11)</f>
        <v>26.0181</v>
      </c>
      <c r="D830" s="8">
        <f>CHOOSE( CONTROL!$C$33, 26.0425, 26.0415) * CHOOSE( CONTROL!$C$16, $D$11, 100%, $F$11)</f>
        <v>26.0425</v>
      </c>
      <c r="E830" s="12">
        <f>CHOOSE( CONTROL!$C$33, 26.0339, 26.0328) * CHOOSE( CONTROL!$C$16, $D$11, 100%, $F$11)</f>
        <v>26.033899999999999</v>
      </c>
      <c r="F830" s="4">
        <f>CHOOSE( CONTROL!$C$33, 26.7421, 26.741) * CHOOSE(CONTROL!$C$16, $D$11, 100%, $F$11)</f>
        <v>26.742100000000001</v>
      </c>
      <c r="G830" s="8">
        <f>CHOOSE( CONTROL!$C$33, 25.7391, 25.7381) * CHOOSE( CONTROL!$C$16, $D$11, 100%, $F$11)</f>
        <v>25.739100000000001</v>
      </c>
      <c r="H830" s="4">
        <f>CHOOSE( CONTROL!$C$33, 26.6755, 26.6745) * CHOOSE(CONTROL!$C$16, $D$11, 100%, $F$11)</f>
        <v>26.6755</v>
      </c>
      <c r="I830" s="8">
        <f>CHOOSE( CONTROL!$C$33, 25.3752, 25.3742) * CHOOSE(CONTROL!$C$16, $D$11, 100%, $F$11)</f>
        <v>25.3752</v>
      </c>
      <c r="J830" s="4">
        <f>CHOOSE( CONTROL!$C$33, 25.2363, 25.2352) * CHOOSE(CONTROL!$C$16, $D$11, 100%, $F$11)</f>
        <v>25.2363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1.2927</v>
      </c>
      <c r="Q830" s="9">
        <v>19.688099999999999</v>
      </c>
      <c r="R830" s="9"/>
      <c r="S830" s="11"/>
    </row>
    <row r="831" spans="1:19" ht="15.75">
      <c r="A831" s="13">
        <v>66445</v>
      </c>
      <c r="B831" s="8">
        <f>CHOOSE( CONTROL!$C$33, 28.0538, 28.0527) * CHOOSE(CONTROL!$C$16, $D$11, 100%, $F$11)</f>
        <v>28.053799999999999</v>
      </c>
      <c r="C831" s="8">
        <f>CHOOSE( CONTROL!$C$33, 28.0589, 28.0578) * CHOOSE(CONTROL!$C$16, $D$11, 100%, $F$11)</f>
        <v>28.058900000000001</v>
      </c>
      <c r="D831" s="8">
        <f>CHOOSE( CONTROL!$C$33, 28.0493, 28.0482) * CHOOSE( CONTROL!$C$16, $D$11, 100%, $F$11)</f>
        <v>28.049299999999999</v>
      </c>
      <c r="E831" s="12">
        <f>CHOOSE( CONTROL!$C$33, 28.0523, 28.0512) * CHOOSE( CONTROL!$C$16, $D$11, 100%, $F$11)</f>
        <v>28.052299999999999</v>
      </c>
      <c r="F831" s="4">
        <f>CHOOSE( CONTROL!$C$33, 28.7139, 28.7129) * CHOOSE(CONTROL!$C$16, $D$11, 100%, $F$11)</f>
        <v>28.713899999999999</v>
      </c>
      <c r="G831" s="8">
        <f>CHOOSE( CONTROL!$C$33, 27.7432, 27.7421) * CHOOSE( CONTROL!$C$16, $D$11, 100%, $F$11)</f>
        <v>27.743200000000002</v>
      </c>
      <c r="H831" s="4">
        <f>CHOOSE( CONTROL!$C$33, 28.6243, 28.6233) * CHOOSE(CONTROL!$C$16, $D$11, 100%, $F$11)</f>
        <v>28.624300000000002</v>
      </c>
      <c r="I831" s="8">
        <f>CHOOSE( CONTROL!$C$33, 27.4168, 27.4157) * CHOOSE(CONTROL!$C$16, $D$11, 100%, $F$11)</f>
        <v>27.416799999999999</v>
      </c>
      <c r="J831" s="4">
        <f>CHOOSE( CONTROL!$C$33, 27.2175, 27.2164) * CHOOSE(CONTROL!$C$16, $D$11, 100%, $F$11)</f>
        <v>27.217500000000001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66476</v>
      </c>
      <c r="B832" s="8">
        <f>CHOOSE( CONTROL!$C$33, 28.0028, 28.0017) * CHOOSE(CONTROL!$C$16, $D$11, 100%, $F$11)</f>
        <v>28.002800000000001</v>
      </c>
      <c r="C832" s="8">
        <f>CHOOSE( CONTROL!$C$33, 28.0079, 28.0068) * CHOOSE(CONTROL!$C$16, $D$11, 100%, $F$11)</f>
        <v>28.007899999999999</v>
      </c>
      <c r="D832" s="8">
        <f>CHOOSE( CONTROL!$C$33, 27.9997, 27.9986) * CHOOSE( CONTROL!$C$16, $D$11, 100%, $F$11)</f>
        <v>27.999700000000001</v>
      </c>
      <c r="E832" s="12">
        <f>CHOOSE( CONTROL!$C$33, 28.0022, 28.0011) * CHOOSE( CONTROL!$C$16, $D$11, 100%, $F$11)</f>
        <v>28.002199999999998</v>
      </c>
      <c r="F832" s="4">
        <f>CHOOSE( CONTROL!$C$33, 28.6629, 28.6619) * CHOOSE(CONTROL!$C$16, $D$11, 100%, $F$11)</f>
        <v>28.6629</v>
      </c>
      <c r="G832" s="8">
        <f>CHOOSE( CONTROL!$C$33, 27.6938, 27.6927) * CHOOSE( CONTROL!$C$16, $D$11, 100%, $F$11)</f>
        <v>27.6938</v>
      </c>
      <c r="H832" s="4">
        <f>CHOOSE( CONTROL!$C$33, 28.5739, 28.5728) * CHOOSE(CONTROL!$C$16, $D$11, 100%, $F$11)</f>
        <v>28.573899999999998</v>
      </c>
      <c r="I832" s="8">
        <f>CHOOSE( CONTROL!$C$33, 27.3717, 27.3706) * CHOOSE(CONTROL!$C$16, $D$11, 100%, $F$11)</f>
        <v>27.371700000000001</v>
      </c>
      <c r="J832" s="4">
        <f>CHOOSE( CONTROL!$C$33, 27.168, 27.1669) * CHOOSE(CONTROL!$C$16, $D$11, 100%, $F$11)</f>
        <v>27.167999999999999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66507</v>
      </c>
      <c r="B833" s="8">
        <f>CHOOSE( CONTROL!$C$33, 28.8285, 28.8274) * CHOOSE(CONTROL!$C$16, $D$11, 100%, $F$11)</f>
        <v>28.828499999999998</v>
      </c>
      <c r="C833" s="8">
        <f>CHOOSE( CONTROL!$C$33, 28.8336, 28.8325) * CHOOSE(CONTROL!$C$16, $D$11, 100%, $F$11)</f>
        <v>28.833600000000001</v>
      </c>
      <c r="D833" s="8">
        <f>CHOOSE( CONTROL!$C$33, 28.8362, 28.8351) * CHOOSE( CONTROL!$C$16, $D$11, 100%, $F$11)</f>
        <v>28.836200000000002</v>
      </c>
      <c r="E833" s="12">
        <f>CHOOSE( CONTROL!$C$33, 28.8347, 28.8336) * CHOOSE( CONTROL!$C$16, $D$11, 100%, $F$11)</f>
        <v>28.834700000000002</v>
      </c>
      <c r="F833" s="4">
        <f>CHOOSE( CONTROL!$C$33, 29.4886, 29.4876) * CHOOSE(CONTROL!$C$16, $D$11, 100%, $F$11)</f>
        <v>29.488600000000002</v>
      </c>
      <c r="G833" s="8">
        <f>CHOOSE( CONTROL!$C$33, 28.5127, 28.5116) * CHOOSE( CONTROL!$C$16, $D$11, 100%, $F$11)</f>
        <v>28.512699999999999</v>
      </c>
      <c r="H833" s="4">
        <f>CHOOSE( CONTROL!$C$33, 29.3899, 29.3889) * CHOOSE(CONTROL!$C$16, $D$11, 100%, $F$11)</f>
        <v>29.389900000000001</v>
      </c>
      <c r="I833" s="8">
        <f>CHOOSE( CONTROL!$C$33, 28.1449, 28.1438) * CHOOSE(CONTROL!$C$16, $D$11, 100%, $F$11)</f>
        <v>28.1449</v>
      </c>
      <c r="J833" s="4">
        <f>CHOOSE( CONTROL!$C$33, 27.9693, 27.9683) * CHOOSE(CONTROL!$C$16, $D$11, 100%, $F$11)</f>
        <v>27.9693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66535</v>
      </c>
      <c r="B834" s="8">
        <f>CHOOSE( CONTROL!$C$33, 26.9654, 26.9644) * CHOOSE(CONTROL!$C$16, $D$11, 100%, $F$11)</f>
        <v>26.965399999999999</v>
      </c>
      <c r="C834" s="8">
        <f>CHOOSE( CONTROL!$C$33, 26.9705, 26.9694) * CHOOSE(CONTROL!$C$16, $D$11, 100%, $F$11)</f>
        <v>26.970500000000001</v>
      </c>
      <c r="D834" s="8">
        <f>CHOOSE( CONTROL!$C$33, 26.9731, 26.972) * CHOOSE( CONTROL!$C$16, $D$11, 100%, $F$11)</f>
        <v>26.973099999999999</v>
      </c>
      <c r="E834" s="12">
        <f>CHOOSE( CONTROL!$C$33, 26.9716, 26.9705) * CHOOSE( CONTROL!$C$16, $D$11, 100%, $F$11)</f>
        <v>26.971599999999999</v>
      </c>
      <c r="F834" s="4">
        <f>CHOOSE( CONTROL!$C$33, 27.6256, 27.6245) * CHOOSE(CONTROL!$C$16, $D$11, 100%, $F$11)</f>
        <v>27.625599999999999</v>
      </c>
      <c r="G834" s="8">
        <f>CHOOSE( CONTROL!$C$33, 26.6714, 26.6703) * CHOOSE( CONTROL!$C$16, $D$11, 100%, $F$11)</f>
        <v>26.671399999999998</v>
      </c>
      <c r="H834" s="4">
        <f>CHOOSE( CONTROL!$C$33, 27.5487, 27.5476) * CHOOSE(CONTROL!$C$16, $D$11, 100%, $F$11)</f>
        <v>27.5487</v>
      </c>
      <c r="I834" s="8">
        <f>CHOOSE( CONTROL!$C$33, 26.3356, 26.3346) * CHOOSE(CONTROL!$C$16, $D$11, 100%, $F$11)</f>
        <v>26.335599999999999</v>
      </c>
      <c r="J834" s="4">
        <f>CHOOSE( CONTROL!$C$33, 26.1612, 26.1602) * CHOOSE(CONTROL!$C$16, $D$11, 100%, $F$11)</f>
        <v>26.161200000000001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66566</v>
      </c>
      <c r="B835" s="8">
        <f>CHOOSE( CONTROL!$C$33, 26.3916, 26.3905) * CHOOSE(CONTROL!$C$16, $D$11, 100%, $F$11)</f>
        <v>26.3916</v>
      </c>
      <c r="C835" s="8">
        <f>CHOOSE( CONTROL!$C$33, 26.3967, 26.3956) * CHOOSE(CONTROL!$C$16, $D$11, 100%, $F$11)</f>
        <v>26.396699999999999</v>
      </c>
      <c r="D835" s="8">
        <f>CHOOSE( CONTROL!$C$33, 26.3986, 26.3975) * CHOOSE( CONTROL!$C$16, $D$11, 100%, $F$11)</f>
        <v>26.398599999999998</v>
      </c>
      <c r="E835" s="12">
        <f>CHOOSE( CONTROL!$C$33, 26.3974, 26.3963) * CHOOSE( CONTROL!$C$16, $D$11, 100%, $F$11)</f>
        <v>26.397400000000001</v>
      </c>
      <c r="F835" s="4">
        <f>CHOOSE( CONTROL!$C$33, 27.0518, 27.0507) * CHOOSE(CONTROL!$C$16, $D$11, 100%, $F$11)</f>
        <v>27.0518</v>
      </c>
      <c r="G835" s="8">
        <f>CHOOSE( CONTROL!$C$33, 26.1038, 26.1027) * CHOOSE( CONTROL!$C$16, $D$11, 100%, $F$11)</f>
        <v>26.1038</v>
      </c>
      <c r="H835" s="4">
        <f>CHOOSE( CONTROL!$C$33, 26.9816, 26.9805) * CHOOSE(CONTROL!$C$16, $D$11, 100%, $F$11)</f>
        <v>26.9816</v>
      </c>
      <c r="I835" s="8">
        <f>CHOOSE( CONTROL!$C$33, 25.7763, 25.7753) * CHOOSE(CONTROL!$C$16, $D$11, 100%, $F$11)</f>
        <v>25.776299999999999</v>
      </c>
      <c r="J835" s="4">
        <f>CHOOSE( CONTROL!$C$33, 25.6043, 25.6033) * CHOOSE(CONTROL!$C$16, $D$11, 100%, $F$11)</f>
        <v>25.604299999999999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66596</v>
      </c>
      <c r="B836" s="8">
        <f>CHOOSE( CONTROL!$C$33, 26.7934, 26.7923) * CHOOSE(CONTROL!$C$16, $D$11, 100%, $F$11)</f>
        <v>26.793399999999998</v>
      </c>
      <c r="C836" s="8">
        <f>CHOOSE( CONTROL!$C$33, 26.7979, 26.7968) * CHOOSE(CONTROL!$C$16, $D$11, 100%, $F$11)</f>
        <v>26.797899999999998</v>
      </c>
      <c r="D836" s="8">
        <f>CHOOSE( CONTROL!$C$33, 26.8222, 26.8211) * CHOOSE( CONTROL!$C$16, $D$11, 100%, $F$11)</f>
        <v>26.822199999999999</v>
      </c>
      <c r="E836" s="12">
        <f>CHOOSE( CONTROL!$C$33, 26.8137, 26.8126) * CHOOSE( CONTROL!$C$16, $D$11, 100%, $F$11)</f>
        <v>26.813700000000001</v>
      </c>
      <c r="F836" s="4">
        <f>CHOOSE( CONTROL!$C$33, 27.5223, 27.5212) * CHOOSE(CONTROL!$C$16, $D$11, 100%, $F$11)</f>
        <v>27.522300000000001</v>
      </c>
      <c r="G836" s="8">
        <f>CHOOSE( CONTROL!$C$33, 26.5098, 26.5087) * CHOOSE( CONTROL!$C$16, $D$11, 100%, $F$11)</f>
        <v>26.509799999999998</v>
      </c>
      <c r="H836" s="4">
        <f>CHOOSE( CONTROL!$C$33, 27.4466, 27.4455) * CHOOSE(CONTROL!$C$16, $D$11, 100%, $F$11)</f>
        <v>27.4466</v>
      </c>
      <c r="I836" s="8">
        <f>CHOOSE( CONTROL!$C$33, 26.1309, 26.1299) * CHOOSE(CONTROL!$C$16, $D$11, 100%, $F$11)</f>
        <v>26.1309</v>
      </c>
      <c r="J836" s="4">
        <f>CHOOSE( CONTROL!$C$33, 25.9935, 25.9924) * CHOOSE(CONTROL!$C$16, $D$11, 100%, $F$11)</f>
        <v>25.993500000000001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1.2509999999999999</v>
      </c>
      <c r="Q836" s="9">
        <v>19.053000000000001</v>
      </c>
      <c r="R836" s="9"/>
      <c r="S836" s="11"/>
    </row>
    <row r="837" spans="1:19" ht="15.75">
      <c r="A837" s="13">
        <v>66627</v>
      </c>
      <c r="B837" s="8">
        <f>CHOOSE( CONTROL!$C$33, 27.5089, 27.5073) * CHOOSE(CONTROL!$C$16, $D$11, 100%, $F$11)</f>
        <v>27.508900000000001</v>
      </c>
      <c r="C837" s="8">
        <f>CHOOSE( CONTROL!$C$33, 27.5169, 27.5153) * CHOOSE(CONTROL!$C$16, $D$11, 100%, $F$11)</f>
        <v>27.5169</v>
      </c>
      <c r="D837" s="8">
        <f>CHOOSE( CONTROL!$C$33, 27.5352, 27.5336) * CHOOSE( CONTROL!$C$16, $D$11, 100%, $F$11)</f>
        <v>27.5352</v>
      </c>
      <c r="E837" s="12">
        <f>CHOOSE( CONTROL!$C$33, 27.5273, 27.5257) * CHOOSE( CONTROL!$C$16, $D$11, 100%, $F$11)</f>
        <v>27.5273</v>
      </c>
      <c r="F837" s="4">
        <f>CHOOSE( CONTROL!$C$33, 28.2365, 28.2348) * CHOOSE(CONTROL!$C$16, $D$11, 100%, $F$11)</f>
        <v>28.236499999999999</v>
      </c>
      <c r="G837" s="8">
        <f>CHOOSE( CONTROL!$C$33, 27.2155, 27.2139) * CHOOSE( CONTROL!$C$16, $D$11, 100%, $F$11)</f>
        <v>27.215499999999999</v>
      </c>
      <c r="H837" s="4">
        <f>CHOOSE( CONTROL!$C$33, 28.1525, 28.1508) * CHOOSE(CONTROL!$C$16, $D$11, 100%, $F$11)</f>
        <v>28.1525</v>
      </c>
      <c r="I837" s="8">
        <f>CHOOSE( CONTROL!$C$33, 26.8238, 26.8222) * CHOOSE(CONTROL!$C$16, $D$11, 100%, $F$11)</f>
        <v>26.823799999999999</v>
      </c>
      <c r="J837" s="4">
        <f>CHOOSE( CONTROL!$C$33, 26.6866, 26.685) * CHOOSE(CONTROL!$C$16, $D$11, 100%, $F$11)</f>
        <v>26.686599999999999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1.2927</v>
      </c>
      <c r="Q837" s="9">
        <v>19.688099999999999</v>
      </c>
      <c r="R837" s="9"/>
      <c r="S837" s="11"/>
    </row>
    <row r="838" spans="1:19" ht="15.75">
      <c r="A838" s="13">
        <v>66657</v>
      </c>
      <c r="B838" s="8">
        <f>CHOOSE( CONTROL!$C$33, 27.0669, 27.0652) * CHOOSE(CONTROL!$C$16, $D$11, 100%, $F$11)</f>
        <v>27.0669</v>
      </c>
      <c r="C838" s="8">
        <f>CHOOSE( CONTROL!$C$33, 27.0748, 27.0732) * CHOOSE(CONTROL!$C$16, $D$11, 100%, $F$11)</f>
        <v>27.0748</v>
      </c>
      <c r="D838" s="8">
        <f>CHOOSE( CONTROL!$C$33, 27.0934, 27.0917) * CHOOSE( CONTROL!$C$16, $D$11, 100%, $F$11)</f>
        <v>27.093399999999999</v>
      </c>
      <c r="E838" s="12">
        <f>CHOOSE( CONTROL!$C$33, 27.0855, 27.0838) * CHOOSE( CONTROL!$C$16, $D$11, 100%, $F$11)</f>
        <v>27.0855</v>
      </c>
      <c r="F838" s="4">
        <f>CHOOSE( CONTROL!$C$33, 27.7944, 27.7928) * CHOOSE(CONTROL!$C$16, $D$11, 100%, $F$11)</f>
        <v>27.7944</v>
      </c>
      <c r="G838" s="8">
        <f>CHOOSE( CONTROL!$C$33, 26.7788, 26.7772) * CHOOSE( CONTROL!$C$16, $D$11, 100%, $F$11)</f>
        <v>26.7788</v>
      </c>
      <c r="H838" s="4">
        <f>CHOOSE( CONTROL!$C$33, 27.7156, 27.7139) * CHOOSE(CONTROL!$C$16, $D$11, 100%, $F$11)</f>
        <v>27.715599999999998</v>
      </c>
      <c r="I838" s="8">
        <f>CHOOSE( CONTROL!$C$33, 26.3954, 26.3938) * CHOOSE(CONTROL!$C$16, $D$11, 100%, $F$11)</f>
        <v>26.395399999999999</v>
      </c>
      <c r="J838" s="4">
        <f>CHOOSE( CONTROL!$C$33, 26.2576, 26.256) * CHOOSE(CONTROL!$C$16, $D$11, 100%, $F$11)</f>
        <v>26.2576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1.2509999999999999</v>
      </c>
      <c r="Q838" s="9">
        <v>19.053000000000001</v>
      </c>
      <c r="R838" s="9"/>
      <c r="S838" s="11"/>
    </row>
    <row r="839" spans="1:19" ht="15.75">
      <c r="A839" s="13">
        <v>66688</v>
      </c>
      <c r="B839" s="8">
        <f>CHOOSE( CONTROL!$C$33, 28.231, 28.2294) * CHOOSE(CONTROL!$C$16, $D$11, 100%, $F$11)</f>
        <v>28.231000000000002</v>
      </c>
      <c r="C839" s="8">
        <f>CHOOSE( CONTROL!$C$33, 28.239, 28.2373) * CHOOSE(CONTROL!$C$16, $D$11, 100%, $F$11)</f>
        <v>28.239000000000001</v>
      </c>
      <c r="D839" s="8">
        <f>CHOOSE( CONTROL!$C$33, 28.2578, 28.2561) * CHOOSE( CONTROL!$C$16, $D$11, 100%, $F$11)</f>
        <v>28.2578</v>
      </c>
      <c r="E839" s="12">
        <f>CHOOSE( CONTROL!$C$33, 28.2498, 28.2481) * CHOOSE( CONTROL!$C$16, $D$11, 100%, $F$11)</f>
        <v>28.2498</v>
      </c>
      <c r="F839" s="4">
        <f>CHOOSE( CONTROL!$C$33, 28.9586, 28.9569) * CHOOSE(CONTROL!$C$16, $D$11, 100%, $F$11)</f>
        <v>28.958600000000001</v>
      </c>
      <c r="G839" s="8">
        <f>CHOOSE( CONTROL!$C$33, 27.9295, 27.9279) * CHOOSE( CONTROL!$C$16, $D$11, 100%, $F$11)</f>
        <v>27.929500000000001</v>
      </c>
      <c r="H839" s="4">
        <f>CHOOSE( CONTROL!$C$33, 28.8661, 28.8644) * CHOOSE(CONTROL!$C$16, $D$11, 100%, $F$11)</f>
        <v>28.866099999999999</v>
      </c>
      <c r="I839" s="8">
        <f>CHOOSE( CONTROL!$C$33, 27.5266, 27.525) * CHOOSE(CONTROL!$C$16, $D$11, 100%, $F$11)</f>
        <v>27.526599999999998</v>
      </c>
      <c r="J839" s="4">
        <f>CHOOSE( CONTROL!$C$33, 27.3874, 27.3858) * CHOOSE(CONTROL!$C$16, $D$11, 100%, $F$11)</f>
        <v>27.3874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1.2927</v>
      </c>
      <c r="Q839" s="9">
        <v>19.688099999999999</v>
      </c>
      <c r="R839" s="9"/>
      <c r="S839" s="11"/>
    </row>
    <row r="840" spans="1:19" ht="15.75">
      <c r="A840" s="13">
        <v>66719</v>
      </c>
      <c r="B840" s="8">
        <f>CHOOSE( CONTROL!$C$33, 26.0528, 26.0511) * CHOOSE(CONTROL!$C$16, $D$11, 100%, $F$11)</f>
        <v>26.052800000000001</v>
      </c>
      <c r="C840" s="8">
        <f>CHOOSE( CONTROL!$C$33, 26.0607, 26.0591) * CHOOSE(CONTROL!$C$16, $D$11, 100%, $F$11)</f>
        <v>26.060700000000001</v>
      </c>
      <c r="D840" s="8">
        <f>CHOOSE( CONTROL!$C$33, 26.0796, 26.078) * CHOOSE( CONTROL!$C$16, $D$11, 100%, $F$11)</f>
        <v>26.079599999999999</v>
      </c>
      <c r="E840" s="12">
        <f>CHOOSE( CONTROL!$C$33, 26.0715, 26.0699) * CHOOSE( CONTROL!$C$16, $D$11, 100%, $F$11)</f>
        <v>26.0715</v>
      </c>
      <c r="F840" s="4">
        <f>CHOOSE( CONTROL!$C$33, 26.7803, 26.7787) * CHOOSE(CONTROL!$C$16, $D$11, 100%, $F$11)</f>
        <v>26.7803</v>
      </c>
      <c r="G840" s="8">
        <f>CHOOSE( CONTROL!$C$33, 25.7768, 25.7752) * CHOOSE( CONTROL!$C$16, $D$11, 100%, $F$11)</f>
        <v>25.776800000000001</v>
      </c>
      <c r="H840" s="4">
        <f>CHOOSE( CONTROL!$C$33, 26.7133, 26.7117) * CHOOSE(CONTROL!$C$16, $D$11, 100%, $F$11)</f>
        <v>26.7133</v>
      </c>
      <c r="I840" s="8">
        <f>CHOOSE( CONTROL!$C$33, 25.4118, 25.4102) * CHOOSE(CONTROL!$C$16, $D$11, 100%, $F$11)</f>
        <v>25.411799999999999</v>
      </c>
      <c r="J840" s="4">
        <f>CHOOSE( CONTROL!$C$33, 25.2734, 25.2718) * CHOOSE(CONTROL!$C$16, $D$11, 100%, $F$11)</f>
        <v>25.273399999999999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1.2927</v>
      </c>
      <c r="Q840" s="9">
        <v>19.688099999999999</v>
      </c>
      <c r="R840" s="9"/>
      <c r="S840" s="11"/>
    </row>
    <row r="841" spans="1:19" ht="15.75">
      <c r="A841" s="13">
        <v>66749</v>
      </c>
      <c r="B841" s="8">
        <f>CHOOSE( CONTROL!$C$33, 25.5073, 25.5057) * CHOOSE(CONTROL!$C$16, $D$11, 100%, $F$11)</f>
        <v>25.507300000000001</v>
      </c>
      <c r="C841" s="8">
        <f>CHOOSE( CONTROL!$C$33, 25.5153, 25.5136) * CHOOSE(CONTROL!$C$16, $D$11, 100%, $F$11)</f>
        <v>25.5153</v>
      </c>
      <c r="D841" s="8">
        <f>CHOOSE( CONTROL!$C$33, 25.5341, 25.5324) * CHOOSE( CONTROL!$C$16, $D$11, 100%, $F$11)</f>
        <v>25.534099999999999</v>
      </c>
      <c r="E841" s="12">
        <f>CHOOSE( CONTROL!$C$33, 25.5261, 25.5244) * CHOOSE( CONTROL!$C$16, $D$11, 100%, $F$11)</f>
        <v>25.5261</v>
      </c>
      <c r="F841" s="4">
        <f>CHOOSE( CONTROL!$C$33, 26.2349, 26.2332) * CHOOSE(CONTROL!$C$16, $D$11, 100%, $F$11)</f>
        <v>26.2349</v>
      </c>
      <c r="G841" s="8">
        <f>CHOOSE( CONTROL!$C$33, 25.2377, 25.236) * CHOOSE( CONTROL!$C$16, $D$11, 100%, $F$11)</f>
        <v>25.2377</v>
      </c>
      <c r="H841" s="4">
        <f>CHOOSE( CONTROL!$C$33, 26.1743, 26.1726) * CHOOSE(CONTROL!$C$16, $D$11, 100%, $F$11)</f>
        <v>26.174299999999999</v>
      </c>
      <c r="I841" s="8">
        <f>CHOOSE( CONTROL!$C$33, 24.8818, 24.8802) * CHOOSE(CONTROL!$C$16, $D$11, 100%, $F$11)</f>
        <v>24.881799999999998</v>
      </c>
      <c r="J841" s="4">
        <f>CHOOSE( CONTROL!$C$33, 24.744, 24.7424) * CHOOSE(CONTROL!$C$16, $D$11, 100%, $F$11)</f>
        <v>24.744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1.2509999999999999</v>
      </c>
      <c r="Q841" s="9">
        <v>19.053000000000001</v>
      </c>
      <c r="R841" s="9"/>
      <c r="S841" s="11"/>
    </row>
    <row r="842" spans="1:19" ht="15.75">
      <c r="A842" s="13">
        <v>66780</v>
      </c>
      <c r="B842" s="8">
        <f>CHOOSE( CONTROL!$C$33, 26.6376, 26.6365) * CHOOSE(CONTROL!$C$16, $D$11, 100%, $F$11)</f>
        <v>26.637599999999999</v>
      </c>
      <c r="C842" s="8">
        <f>CHOOSE( CONTROL!$C$33, 26.6429, 26.6418) * CHOOSE(CONTROL!$C$16, $D$11, 100%, $F$11)</f>
        <v>26.642900000000001</v>
      </c>
      <c r="D842" s="8">
        <f>CHOOSE( CONTROL!$C$33, 26.6673, 26.6662) * CHOOSE( CONTROL!$C$16, $D$11, 100%, $F$11)</f>
        <v>26.667300000000001</v>
      </c>
      <c r="E842" s="12">
        <f>CHOOSE( CONTROL!$C$33, 26.6587, 26.6576) * CHOOSE( CONTROL!$C$16, $D$11, 100%, $F$11)</f>
        <v>26.6587</v>
      </c>
      <c r="F842" s="4">
        <f>CHOOSE( CONTROL!$C$33, 27.3668, 27.3658) * CHOOSE(CONTROL!$C$16, $D$11, 100%, $F$11)</f>
        <v>27.366800000000001</v>
      </c>
      <c r="G842" s="8">
        <f>CHOOSE( CONTROL!$C$33, 26.3566, 26.3555) * CHOOSE( CONTROL!$C$16, $D$11, 100%, $F$11)</f>
        <v>26.3566</v>
      </c>
      <c r="H842" s="4">
        <f>CHOOSE( CONTROL!$C$33, 27.293, 27.2919) * CHOOSE(CONTROL!$C$16, $D$11, 100%, $F$11)</f>
        <v>27.292999999999999</v>
      </c>
      <c r="I842" s="8">
        <f>CHOOSE( CONTROL!$C$33, 25.9819, 25.9808) * CHOOSE(CONTROL!$C$16, $D$11, 100%, $F$11)</f>
        <v>25.9819</v>
      </c>
      <c r="J842" s="4">
        <f>CHOOSE( CONTROL!$C$33, 25.8426, 25.8416) * CHOOSE(CONTROL!$C$16, $D$11, 100%, $F$11)</f>
        <v>25.842600000000001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1.2927</v>
      </c>
      <c r="Q842" s="9">
        <v>19.688099999999999</v>
      </c>
      <c r="R842" s="9"/>
      <c r="S842" s="11"/>
    </row>
    <row r="843" spans="1:19" ht="15.75">
      <c r="A843" s="13">
        <v>66810</v>
      </c>
      <c r="B843" s="8">
        <f>CHOOSE( CONTROL!$C$33, 28.7276, 28.7266) * CHOOSE(CONTROL!$C$16, $D$11, 100%, $F$11)</f>
        <v>28.727599999999999</v>
      </c>
      <c r="C843" s="8">
        <f>CHOOSE( CONTROL!$C$33, 28.7327, 28.7316) * CHOOSE(CONTROL!$C$16, $D$11, 100%, $F$11)</f>
        <v>28.732700000000001</v>
      </c>
      <c r="D843" s="8">
        <f>CHOOSE( CONTROL!$C$33, 28.7231, 28.722) * CHOOSE( CONTROL!$C$16, $D$11, 100%, $F$11)</f>
        <v>28.723099999999999</v>
      </c>
      <c r="E843" s="12">
        <f>CHOOSE( CONTROL!$C$33, 28.7261, 28.725) * CHOOSE( CONTROL!$C$16, $D$11, 100%, $F$11)</f>
        <v>28.726099999999999</v>
      </c>
      <c r="F843" s="4">
        <f>CHOOSE( CONTROL!$C$33, 29.3878, 29.3867) * CHOOSE(CONTROL!$C$16, $D$11, 100%, $F$11)</f>
        <v>29.387799999999999</v>
      </c>
      <c r="G843" s="8">
        <f>CHOOSE( CONTROL!$C$33, 28.4091, 28.4081) * CHOOSE( CONTROL!$C$16, $D$11, 100%, $F$11)</f>
        <v>28.409099999999999</v>
      </c>
      <c r="H843" s="4">
        <f>CHOOSE( CONTROL!$C$33, 29.2903, 29.2892) * CHOOSE(CONTROL!$C$16, $D$11, 100%, $F$11)</f>
        <v>29.290299999999998</v>
      </c>
      <c r="I843" s="8">
        <f>CHOOSE( CONTROL!$C$33, 28.071, 28.07) * CHOOSE(CONTROL!$C$16, $D$11, 100%, $F$11)</f>
        <v>28.071000000000002</v>
      </c>
      <c r="J843" s="4">
        <f>CHOOSE( CONTROL!$C$33, 27.8714, 27.8704) * CHOOSE(CONTROL!$C$16, $D$11, 100%, $F$11)</f>
        <v>27.871400000000001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66841</v>
      </c>
      <c r="B844" s="8">
        <f>CHOOSE( CONTROL!$C$33, 28.6754, 28.6743) * CHOOSE(CONTROL!$C$16, $D$11, 100%, $F$11)</f>
        <v>28.6754</v>
      </c>
      <c r="C844" s="8">
        <f>CHOOSE( CONTROL!$C$33, 28.6805, 28.6794) * CHOOSE(CONTROL!$C$16, $D$11, 100%, $F$11)</f>
        <v>28.680499999999999</v>
      </c>
      <c r="D844" s="8">
        <f>CHOOSE( CONTROL!$C$33, 28.6723, 28.6712) * CHOOSE( CONTROL!$C$16, $D$11, 100%, $F$11)</f>
        <v>28.6723</v>
      </c>
      <c r="E844" s="12">
        <f>CHOOSE( CONTROL!$C$33, 28.6748, 28.6737) * CHOOSE( CONTROL!$C$16, $D$11, 100%, $F$11)</f>
        <v>28.674800000000001</v>
      </c>
      <c r="F844" s="4">
        <f>CHOOSE( CONTROL!$C$33, 29.3355, 29.3345) * CHOOSE(CONTROL!$C$16, $D$11, 100%, $F$11)</f>
        <v>29.3355</v>
      </c>
      <c r="G844" s="8">
        <f>CHOOSE( CONTROL!$C$33, 28.3585, 28.3575) * CHOOSE( CONTROL!$C$16, $D$11, 100%, $F$11)</f>
        <v>28.358499999999999</v>
      </c>
      <c r="H844" s="4">
        <f>CHOOSE( CONTROL!$C$33, 29.2386, 29.2376) * CHOOSE(CONTROL!$C$16, $D$11, 100%, $F$11)</f>
        <v>29.238600000000002</v>
      </c>
      <c r="I844" s="8">
        <f>CHOOSE( CONTROL!$C$33, 28.0248, 28.0237) * CHOOSE(CONTROL!$C$16, $D$11, 100%, $F$11)</f>
        <v>28.024799999999999</v>
      </c>
      <c r="J844" s="4">
        <f>CHOOSE( CONTROL!$C$33, 27.8207, 27.8197) * CHOOSE(CONTROL!$C$16, $D$11, 100%, $F$11)</f>
        <v>27.820699999999999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66872</v>
      </c>
      <c r="B845" s="8">
        <f>CHOOSE( CONTROL!$C$33, 29.5209, 29.5199) * CHOOSE(CONTROL!$C$16, $D$11, 100%, $F$11)</f>
        <v>29.520900000000001</v>
      </c>
      <c r="C845" s="8">
        <f>CHOOSE( CONTROL!$C$33, 29.526, 29.5249) * CHOOSE(CONTROL!$C$16, $D$11, 100%, $F$11)</f>
        <v>29.526</v>
      </c>
      <c r="D845" s="8">
        <f>CHOOSE( CONTROL!$C$33, 29.5287, 29.5276) * CHOOSE( CONTROL!$C$16, $D$11, 100%, $F$11)</f>
        <v>29.528700000000001</v>
      </c>
      <c r="E845" s="12">
        <f>CHOOSE( CONTROL!$C$33, 29.5272, 29.5261) * CHOOSE( CONTROL!$C$16, $D$11, 100%, $F$11)</f>
        <v>29.527200000000001</v>
      </c>
      <c r="F845" s="4">
        <f>CHOOSE( CONTROL!$C$33, 30.1811, 30.18) * CHOOSE(CONTROL!$C$16, $D$11, 100%, $F$11)</f>
        <v>30.181100000000001</v>
      </c>
      <c r="G845" s="8">
        <f>CHOOSE( CONTROL!$C$33, 29.197, 29.1959) * CHOOSE( CONTROL!$C$16, $D$11, 100%, $F$11)</f>
        <v>29.196999999999999</v>
      </c>
      <c r="H845" s="4">
        <f>CHOOSE( CONTROL!$C$33, 30.0743, 30.0732) * CHOOSE(CONTROL!$C$16, $D$11, 100%, $F$11)</f>
        <v>30.074300000000001</v>
      </c>
      <c r="I845" s="8">
        <f>CHOOSE( CONTROL!$C$33, 28.8172, 28.8162) * CHOOSE(CONTROL!$C$16, $D$11, 100%, $F$11)</f>
        <v>28.8172</v>
      </c>
      <c r="J845" s="4">
        <f>CHOOSE( CONTROL!$C$33, 28.6413, 28.6403) * CHOOSE(CONTROL!$C$16, $D$11, 100%, $F$11)</f>
        <v>28.641300000000001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66900</v>
      </c>
      <c r="B846" s="8">
        <f>CHOOSE( CONTROL!$C$33, 27.6131, 27.612) * CHOOSE(CONTROL!$C$16, $D$11, 100%, $F$11)</f>
        <v>27.613099999999999</v>
      </c>
      <c r="C846" s="8">
        <f>CHOOSE( CONTROL!$C$33, 27.6182, 27.6171) * CHOOSE(CONTROL!$C$16, $D$11, 100%, $F$11)</f>
        <v>27.618200000000002</v>
      </c>
      <c r="D846" s="8">
        <f>CHOOSE( CONTROL!$C$33, 27.6207, 27.6197) * CHOOSE( CONTROL!$C$16, $D$11, 100%, $F$11)</f>
        <v>27.620699999999999</v>
      </c>
      <c r="E846" s="12">
        <f>CHOOSE( CONTROL!$C$33, 27.6192, 27.6182) * CHOOSE( CONTROL!$C$16, $D$11, 100%, $F$11)</f>
        <v>27.619199999999999</v>
      </c>
      <c r="F846" s="4">
        <f>CHOOSE( CONTROL!$C$33, 28.2732, 28.2722) * CHOOSE(CONTROL!$C$16, $D$11, 100%, $F$11)</f>
        <v>28.273199999999999</v>
      </c>
      <c r="G846" s="8">
        <f>CHOOSE( CONTROL!$C$33, 27.3114, 27.3104) * CHOOSE( CONTROL!$C$16, $D$11, 100%, $F$11)</f>
        <v>27.311399999999999</v>
      </c>
      <c r="H846" s="4">
        <f>CHOOSE( CONTROL!$C$33, 28.1888, 28.1877) * CHOOSE(CONTROL!$C$16, $D$11, 100%, $F$11)</f>
        <v>28.188800000000001</v>
      </c>
      <c r="I846" s="8">
        <f>CHOOSE( CONTROL!$C$33, 26.9645, 26.9635) * CHOOSE(CONTROL!$C$16, $D$11, 100%, $F$11)</f>
        <v>26.964500000000001</v>
      </c>
      <c r="J846" s="4">
        <f>CHOOSE( CONTROL!$C$33, 26.7898, 26.7887) * CHOOSE(CONTROL!$C$16, $D$11, 100%, $F$11)</f>
        <v>26.7898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66931</v>
      </c>
      <c r="B847" s="8">
        <f>CHOOSE( CONTROL!$C$33, 27.0255, 27.0244) * CHOOSE(CONTROL!$C$16, $D$11, 100%, $F$11)</f>
        <v>27.025500000000001</v>
      </c>
      <c r="C847" s="8">
        <f>CHOOSE( CONTROL!$C$33, 27.0306, 27.0295) * CHOOSE(CONTROL!$C$16, $D$11, 100%, $F$11)</f>
        <v>27.0306</v>
      </c>
      <c r="D847" s="8">
        <f>CHOOSE( CONTROL!$C$33, 27.0325, 27.0314) * CHOOSE( CONTROL!$C$16, $D$11, 100%, $F$11)</f>
        <v>27.032499999999999</v>
      </c>
      <c r="E847" s="12">
        <f>CHOOSE( CONTROL!$C$33, 27.0313, 27.0302) * CHOOSE( CONTROL!$C$16, $D$11, 100%, $F$11)</f>
        <v>27.031300000000002</v>
      </c>
      <c r="F847" s="4">
        <f>CHOOSE( CONTROL!$C$33, 27.6856, 27.6846) * CHOOSE(CONTROL!$C$16, $D$11, 100%, $F$11)</f>
        <v>27.685600000000001</v>
      </c>
      <c r="G847" s="8">
        <f>CHOOSE( CONTROL!$C$33, 26.7302, 26.7292) * CHOOSE( CONTROL!$C$16, $D$11, 100%, $F$11)</f>
        <v>26.7302</v>
      </c>
      <c r="H847" s="4">
        <f>CHOOSE( CONTROL!$C$33, 27.6081, 27.607) * CHOOSE(CONTROL!$C$16, $D$11, 100%, $F$11)</f>
        <v>27.6081</v>
      </c>
      <c r="I847" s="8">
        <f>CHOOSE( CONTROL!$C$33, 26.3918, 26.3908) * CHOOSE(CONTROL!$C$16, $D$11, 100%, $F$11)</f>
        <v>26.3918</v>
      </c>
      <c r="J847" s="4">
        <f>CHOOSE( CONTROL!$C$33, 26.2195, 26.2185) * CHOOSE(CONTROL!$C$16, $D$11, 100%, $F$11)</f>
        <v>26.2195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66961</v>
      </c>
      <c r="B848" s="8">
        <f>CHOOSE( CONTROL!$C$33, 27.4369, 27.4358) * CHOOSE(CONTROL!$C$16, $D$11, 100%, $F$11)</f>
        <v>27.436900000000001</v>
      </c>
      <c r="C848" s="8">
        <f>CHOOSE( CONTROL!$C$33, 27.4414, 27.4403) * CHOOSE(CONTROL!$C$16, $D$11, 100%, $F$11)</f>
        <v>27.441400000000002</v>
      </c>
      <c r="D848" s="8">
        <f>CHOOSE( CONTROL!$C$33, 27.4657, 27.4647) * CHOOSE( CONTROL!$C$16, $D$11, 100%, $F$11)</f>
        <v>27.465699999999998</v>
      </c>
      <c r="E848" s="12">
        <f>CHOOSE( CONTROL!$C$33, 27.4572, 27.4561) * CHOOSE( CONTROL!$C$16, $D$11, 100%, $F$11)</f>
        <v>27.4572</v>
      </c>
      <c r="F848" s="4">
        <f>CHOOSE( CONTROL!$C$33, 28.1658, 28.1647) * CHOOSE(CONTROL!$C$16, $D$11, 100%, $F$11)</f>
        <v>28.165800000000001</v>
      </c>
      <c r="G848" s="8">
        <f>CHOOSE( CONTROL!$C$33, 27.1457, 27.1447) * CHOOSE( CONTROL!$C$16, $D$11, 100%, $F$11)</f>
        <v>27.145700000000001</v>
      </c>
      <c r="H848" s="4">
        <f>CHOOSE( CONTROL!$C$33, 28.0826, 28.0815) * CHOOSE(CONTROL!$C$16, $D$11, 100%, $F$11)</f>
        <v>28.082599999999999</v>
      </c>
      <c r="I848" s="8">
        <f>CHOOSE( CONTROL!$C$33, 26.7558, 26.7547) * CHOOSE(CONTROL!$C$16, $D$11, 100%, $F$11)</f>
        <v>26.755800000000001</v>
      </c>
      <c r="J848" s="4">
        <f>CHOOSE( CONTROL!$C$33, 26.618, 26.6169) * CHOOSE(CONTROL!$C$16, $D$11, 100%, $F$11)</f>
        <v>26.617999999999999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1.2509999999999999</v>
      </c>
      <c r="Q848" s="9">
        <v>19.053000000000001</v>
      </c>
      <c r="R848" s="9"/>
      <c r="S848" s="11"/>
    </row>
    <row r="849" spans="1:19" ht="15.75">
      <c r="A849" s="13">
        <v>66992</v>
      </c>
      <c r="B849" s="8">
        <f>CHOOSE( CONTROL!$C$33, 28.1696, 28.1679) * CHOOSE(CONTROL!$C$16, $D$11, 100%, $F$11)</f>
        <v>28.169599999999999</v>
      </c>
      <c r="C849" s="8">
        <f>CHOOSE( CONTROL!$C$33, 28.1776, 28.1759) * CHOOSE(CONTROL!$C$16, $D$11, 100%, $F$11)</f>
        <v>28.177600000000002</v>
      </c>
      <c r="D849" s="8">
        <f>CHOOSE( CONTROL!$C$33, 28.1959, 28.1942) * CHOOSE( CONTROL!$C$16, $D$11, 100%, $F$11)</f>
        <v>28.195900000000002</v>
      </c>
      <c r="E849" s="12">
        <f>CHOOSE( CONTROL!$C$33, 28.188, 28.1863) * CHOOSE( CONTROL!$C$16, $D$11, 100%, $F$11)</f>
        <v>28.187999999999999</v>
      </c>
      <c r="F849" s="4">
        <f>CHOOSE( CONTROL!$C$33, 28.8972, 28.8955) * CHOOSE(CONTROL!$C$16, $D$11, 100%, $F$11)</f>
        <v>28.897200000000002</v>
      </c>
      <c r="G849" s="8">
        <f>CHOOSE( CONTROL!$C$33, 27.8684, 27.8668) * CHOOSE( CONTROL!$C$16, $D$11, 100%, $F$11)</f>
        <v>27.868400000000001</v>
      </c>
      <c r="H849" s="4">
        <f>CHOOSE( CONTROL!$C$33, 28.8054, 28.8037) * CHOOSE(CONTROL!$C$16, $D$11, 100%, $F$11)</f>
        <v>28.805399999999999</v>
      </c>
      <c r="I849" s="8">
        <f>CHOOSE( CONTROL!$C$33, 27.4653, 27.4637) * CHOOSE(CONTROL!$C$16, $D$11, 100%, $F$11)</f>
        <v>27.465299999999999</v>
      </c>
      <c r="J849" s="4">
        <f>CHOOSE( CONTROL!$C$33, 27.3278, 27.3262) * CHOOSE(CONTROL!$C$16, $D$11, 100%, $F$11)</f>
        <v>27.3278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1.2927</v>
      </c>
      <c r="Q849" s="9">
        <v>19.688099999999999</v>
      </c>
      <c r="R849" s="9"/>
      <c r="S849" s="11"/>
    </row>
    <row r="850" spans="1:19" ht="15.75">
      <c r="A850" s="13">
        <v>67022</v>
      </c>
      <c r="B850" s="8">
        <f>CHOOSE( CONTROL!$C$33, 27.7169, 27.7153) * CHOOSE(CONTROL!$C$16, $D$11, 100%, $F$11)</f>
        <v>27.716899999999999</v>
      </c>
      <c r="C850" s="8">
        <f>CHOOSE( CONTROL!$C$33, 27.7249, 27.7232) * CHOOSE(CONTROL!$C$16, $D$11, 100%, $F$11)</f>
        <v>27.724900000000002</v>
      </c>
      <c r="D850" s="8">
        <f>CHOOSE( CONTROL!$C$33, 27.7434, 27.7418) * CHOOSE( CONTROL!$C$16, $D$11, 100%, $F$11)</f>
        <v>27.743400000000001</v>
      </c>
      <c r="E850" s="12">
        <f>CHOOSE( CONTROL!$C$33, 27.7355, 27.7339) * CHOOSE( CONTROL!$C$16, $D$11, 100%, $F$11)</f>
        <v>27.735499999999998</v>
      </c>
      <c r="F850" s="4">
        <f>CHOOSE( CONTROL!$C$33, 28.4445, 28.4428) * CHOOSE(CONTROL!$C$16, $D$11, 100%, $F$11)</f>
        <v>28.444500000000001</v>
      </c>
      <c r="G850" s="8">
        <f>CHOOSE( CONTROL!$C$33, 27.4212, 27.4196) * CHOOSE( CONTROL!$C$16, $D$11, 100%, $F$11)</f>
        <v>27.421199999999999</v>
      </c>
      <c r="H850" s="4">
        <f>CHOOSE( CONTROL!$C$33, 28.358, 28.3564) * CHOOSE(CONTROL!$C$16, $D$11, 100%, $F$11)</f>
        <v>28.358000000000001</v>
      </c>
      <c r="I850" s="8">
        <f>CHOOSE( CONTROL!$C$33, 27.0266, 27.025) * CHOOSE(CONTROL!$C$16, $D$11, 100%, $F$11)</f>
        <v>27.026599999999998</v>
      </c>
      <c r="J850" s="4">
        <f>CHOOSE( CONTROL!$C$33, 26.8884, 26.8868) * CHOOSE(CONTROL!$C$16, $D$11, 100%, $F$11)</f>
        <v>26.888400000000001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1.2509999999999999</v>
      </c>
      <c r="Q850" s="9">
        <v>19.053000000000001</v>
      </c>
      <c r="R850" s="9"/>
      <c r="S850" s="11"/>
    </row>
    <row r="851" spans="1:19" ht="15.75">
      <c r="A851" s="13">
        <v>67053</v>
      </c>
      <c r="B851" s="8">
        <f>CHOOSE( CONTROL!$C$33, 28.909, 28.9074) * CHOOSE(CONTROL!$C$16, $D$11, 100%, $F$11)</f>
        <v>28.908999999999999</v>
      </c>
      <c r="C851" s="8">
        <f>CHOOSE( CONTROL!$C$33, 28.917, 28.9153) * CHOOSE(CONTROL!$C$16, $D$11, 100%, $F$11)</f>
        <v>28.917000000000002</v>
      </c>
      <c r="D851" s="8">
        <f>CHOOSE( CONTROL!$C$33, 28.9358, 28.9341) * CHOOSE( CONTROL!$C$16, $D$11, 100%, $F$11)</f>
        <v>28.9358</v>
      </c>
      <c r="E851" s="12">
        <f>CHOOSE( CONTROL!$C$33, 28.9278, 28.9261) * CHOOSE( CONTROL!$C$16, $D$11, 100%, $F$11)</f>
        <v>28.927800000000001</v>
      </c>
      <c r="F851" s="4">
        <f>CHOOSE( CONTROL!$C$33, 29.6366, 29.6349) * CHOOSE(CONTROL!$C$16, $D$11, 100%, $F$11)</f>
        <v>29.636600000000001</v>
      </c>
      <c r="G851" s="8">
        <f>CHOOSE( CONTROL!$C$33, 28.5996, 28.5979) * CHOOSE( CONTROL!$C$16, $D$11, 100%, $F$11)</f>
        <v>28.599599999999999</v>
      </c>
      <c r="H851" s="4">
        <f>CHOOSE( CONTROL!$C$33, 29.5361, 29.5345) * CHOOSE(CONTROL!$C$16, $D$11, 100%, $F$11)</f>
        <v>29.536100000000001</v>
      </c>
      <c r="I851" s="8">
        <f>CHOOSE( CONTROL!$C$33, 28.185, 28.1834) * CHOOSE(CONTROL!$C$16, $D$11, 100%, $F$11)</f>
        <v>28.184999999999999</v>
      </c>
      <c r="J851" s="4">
        <f>CHOOSE( CONTROL!$C$33, 28.0454, 28.0438) * CHOOSE(CONTROL!$C$16, $D$11, 100%, $F$11)</f>
        <v>28.045400000000001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1.2927</v>
      </c>
      <c r="Q851" s="9">
        <v>19.688099999999999</v>
      </c>
      <c r="R851" s="9"/>
      <c r="S851" s="11"/>
    </row>
    <row r="852" spans="1:19" ht="15.75">
      <c r="A852" s="13">
        <v>67084</v>
      </c>
      <c r="B852" s="8">
        <f>CHOOSE( CONTROL!$C$33, 26.6784, 26.6768) * CHOOSE(CONTROL!$C$16, $D$11, 100%, $F$11)</f>
        <v>26.6784</v>
      </c>
      <c r="C852" s="8">
        <f>CHOOSE( CONTROL!$C$33, 26.6864, 26.6848) * CHOOSE(CONTROL!$C$16, $D$11, 100%, $F$11)</f>
        <v>26.686399999999999</v>
      </c>
      <c r="D852" s="8">
        <f>CHOOSE( CONTROL!$C$33, 26.7053, 26.7036) * CHOOSE( CONTROL!$C$16, $D$11, 100%, $F$11)</f>
        <v>26.705300000000001</v>
      </c>
      <c r="E852" s="12">
        <f>CHOOSE( CONTROL!$C$33, 26.6972, 26.6956) * CHOOSE( CONTROL!$C$16, $D$11, 100%, $F$11)</f>
        <v>26.697199999999999</v>
      </c>
      <c r="F852" s="4">
        <f>CHOOSE( CONTROL!$C$33, 27.406, 27.4043) * CHOOSE(CONTROL!$C$16, $D$11, 100%, $F$11)</f>
        <v>27.405999999999999</v>
      </c>
      <c r="G852" s="8">
        <f>CHOOSE( CONTROL!$C$33, 26.3952, 26.3935) * CHOOSE( CONTROL!$C$16, $D$11, 100%, $F$11)</f>
        <v>26.395199999999999</v>
      </c>
      <c r="H852" s="4">
        <f>CHOOSE( CONTROL!$C$33, 27.3317, 27.3301) * CHOOSE(CONTROL!$C$16, $D$11, 100%, $F$11)</f>
        <v>27.331700000000001</v>
      </c>
      <c r="I852" s="8">
        <f>CHOOSE( CONTROL!$C$33, 26.0194, 26.0178) * CHOOSE(CONTROL!$C$16, $D$11, 100%, $F$11)</f>
        <v>26.019400000000001</v>
      </c>
      <c r="J852" s="4">
        <f>CHOOSE( CONTROL!$C$33, 25.8806, 25.879) * CHOOSE(CONTROL!$C$16, $D$11, 100%, $F$11)</f>
        <v>25.880600000000001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1.2927</v>
      </c>
      <c r="Q852" s="9">
        <v>19.688099999999999</v>
      </c>
      <c r="R852" s="9"/>
      <c r="S852" s="11"/>
    </row>
    <row r="853" spans="1:19" ht="15.75">
      <c r="A853" s="13">
        <v>67114</v>
      </c>
      <c r="B853" s="8">
        <f>CHOOSE( CONTROL!$C$33, 26.1199, 26.1182) * CHOOSE(CONTROL!$C$16, $D$11, 100%, $F$11)</f>
        <v>26.119900000000001</v>
      </c>
      <c r="C853" s="8">
        <f>CHOOSE( CONTROL!$C$33, 26.1279, 26.1262) * CHOOSE(CONTROL!$C$16, $D$11, 100%, $F$11)</f>
        <v>26.1279</v>
      </c>
      <c r="D853" s="8">
        <f>CHOOSE( CONTROL!$C$33, 26.1466, 26.145) * CHOOSE( CONTROL!$C$16, $D$11, 100%, $F$11)</f>
        <v>26.146599999999999</v>
      </c>
      <c r="E853" s="12">
        <f>CHOOSE( CONTROL!$C$33, 26.1386, 26.137) * CHOOSE( CONTROL!$C$16, $D$11, 100%, $F$11)</f>
        <v>26.1386</v>
      </c>
      <c r="F853" s="4">
        <f>CHOOSE( CONTROL!$C$33, 26.8474, 26.8458) * CHOOSE(CONTROL!$C$16, $D$11, 100%, $F$11)</f>
        <v>26.8474</v>
      </c>
      <c r="G853" s="8">
        <f>CHOOSE( CONTROL!$C$33, 25.8431, 25.8414) * CHOOSE( CONTROL!$C$16, $D$11, 100%, $F$11)</f>
        <v>25.8431</v>
      </c>
      <c r="H853" s="4">
        <f>CHOOSE( CONTROL!$C$33, 26.7797, 26.778) * CHOOSE(CONTROL!$C$16, $D$11, 100%, $F$11)</f>
        <v>26.779699999999998</v>
      </c>
      <c r="I853" s="8">
        <f>CHOOSE( CONTROL!$C$33, 25.4766, 25.475) * CHOOSE(CONTROL!$C$16, $D$11, 100%, $F$11)</f>
        <v>25.476600000000001</v>
      </c>
      <c r="J853" s="4">
        <f>CHOOSE( CONTROL!$C$33, 25.3385, 25.3369) * CHOOSE(CONTROL!$C$16, $D$11, 100%, $F$11)</f>
        <v>25.3385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1.2509999999999999</v>
      </c>
      <c r="Q853" s="9">
        <v>19.053000000000001</v>
      </c>
      <c r="R853" s="9"/>
      <c r="S853" s="11"/>
    </row>
    <row r="854" spans="1:19" ht="15.75">
      <c r="A854" s="13">
        <v>67145</v>
      </c>
      <c r="B854" s="8">
        <f>CHOOSE( CONTROL!$C$33, 27.2774, 27.2763) * CHOOSE(CONTROL!$C$16, $D$11, 100%, $F$11)</f>
        <v>27.2774</v>
      </c>
      <c r="C854" s="8">
        <f>CHOOSE( CONTROL!$C$33, 27.2827, 27.2816) * CHOOSE(CONTROL!$C$16, $D$11, 100%, $F$11)</f>
        <v>27.282699999999998</v>
      </c>
      <c r="D854" s="8">
        <f>CHOOSE( CONTROL!$C$33, 27.3071, 27.306) * CHOOSE( CONTROL!$C$16, $D$11, 100%, $F$11)</f>
        <v>27.307099999999998</v>
      </c>
      <c r="E854" s="12">
        <f>CHOOSE( CONTROL!$C$33, 27.2985, 27.2974) * CHOOSE( CONTROL!$C$16, $D$11, 100%, $F$11)</f>
        <v>27.298500000000001</v>
      </c>
      <c r="F854" s="4">
        <f>CHOOSE( CONTROL!$C$33, 28.0066, 28.0055) * CHOOSE(CONTROL!$C$16, $D$11, 100%, $F$11)</f>
        <v>28.006599999999999</v>
      </c>
      <c r="G854" s="8">
        <f>CHOOSE( CONTROL!$C$33, 26.9889, 26.9878) * CHOOSE( CONTROL!$C$16, $D$11, 100%, $F$11)</f>
        <v>26.988900000000001</v>
      </c>
      <c r="H854" s="4">
        <f>CHOOSE( CONTROL!$C$33, 27.9253, 27.9242) * CHOOSE(CONTROL!$C$16, $D$11, 100%, $F$11)</f>
        <v>27.9253</v>
      </c>
      <c r="I854" s="8">
        <f>CHOOSE( CONTROL!$C$33, 26.6031, 26.602) * CHOOSE(CONTROL!$C$16, $D$11, 100%, $F$11)</f>
        <v>26.603100000000001</v>
      </c>
      <c r="J854" s="4">
        <f>CHOOSE( CONTROL!$C$33, 26.4635, 26.4625) * CHOOSE(CONTROL!$C$16, $D$11, 100%, $F$11)</f>
        <v>26.4635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1.2927</v>
      </c>
      <c r="Q854" s="9">
        <v>19.688099999999999</v>
      </c>
      <c r="R854" s="9"/>
      <c r="S854" s="11"/>
    </row>
    <row r="855" spans="1:19" ht="15.75">
      <c r="A855" s="13">
        <v>67175</v>
      </c>
      <c r="B855" s="8">
        <f>CHOOSE( CONTROL!$C$33, 29.4176, 29.4166) * CHOOSE(CONTROL!$C$16, $D$11, 100%, $F$11)</f>
        <v>29.4176</v>
      </c>
      <c r="C855" s="8">
        <f>CHOOSE( CONTROL!$C$33, 29.4227, 29.4216) * CHOOSE(CONTROL!$C$16, $D$11, 100%, $F$11)</f>
        <v>29.422699999999999</v>
      </c>
      <c r="D855" s="8">
        <f>CHOOSE( CONTROL!$C$33, 29.4131, 29.412) * CHOOSE( CONTROL!$C$16, $D$11, 100%, $F$11)</f>
        <v>29.4131</v>
      </c>
      <c r="E855" s="12">
        <f>CHOOSE( CONTROL!$C$33, 29.4161, 29.415) * CHOOSE( CONTROL!$C$16, $D$11, 100%, $F$11)</f>
        <v>29.4161</v>
      </c>
      <c r="F855" s="4">
        <f>CHOOSE( CONTROL!$C$33, 30.0778, 30.0767) * CHOOSE(CONTROL!$C$16, $D$11, 100%, $F$11)</f>
        <v>30.0778</v>
      </c>
      <c r="G855" s="8">
        <f>CHOOSE( CONTROL!$C$33, 29.0911, 29.09) * CHOOSE( CONTROL!$C$16, $D$11, 100%, $F$11)</f>
        <v>29.091100000000001</v>
      </c>
      <c r="H855" s="4">
        <f>CHOOSE( CONTROL!$C$33, 29.9722, 29.9711) * CHOOSE(CONTROL!$C$16, $D$11, 100%, $F$11)</f>
        <v>29.972200000000001</v>
      </c>
      <c r="I855" s="8">
        <f>CHOOSE( CONTROL!$C$33, 28.741, 28.74) * CHOOSE(CONTROL!$C$16, $D$11, 100%, $F$11)</f>
        <v>28.741</v>
      </c>
      <c r="J855" s="4">
        <f>CHOOSE( CONTROL!$C$33, 28.5411, 28.54) * CHOOSE(CONTROL!$C$16, $D$11, 100%, $F$11)</f>
        <v>28.5411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67206</v>
      </c>
      <c r="B856" s="8">
        <f>CHOOSE( CONTROL!$C$33, 29.3642, 29.3631) * CHOOSE(CONTROL!$C$16, $D$11, 100%, $F$11)</f>
        <v>29.3642</v>
      </c>
      <c r="C856" s="8">
        <f>CHOOSE( CONTROL!$C$33, 29.3692, 29.3682) * CHOOSE(CONTROL!$C$16, $D$11, 100%, $F$11)</f>
        <v>29.369199999999999</v>
      </c>
      <c r="D856" s="8">
        <f>CHOOSE( CONTROL!$C$33, 29.3611, 29.36) * CHOOSE( CONTROL!$C$16, $D$11, 100%, $F$11)</f>
        <v>29.3611</v>
      </c>
      <c r="E856" s="12">
        <f>CHOOSE( CONTROL!$C$33, 29.3635, 29.3625) * CHOOSE( CONTROL!$C$16, $D$11, 100%, $F$11)</f>
        <v>29.363499999999998</v>
      </c>
      <c r="F856" s="4">
        <f>CHOOSE( CONTROL!$C$33, 30.0243, 30.0232) * CHOOSE(CONTROL!$C$16, $D$11, 100%, $F$11)</f>
        <v>30.0243</v>
      </c>
      <c r="G856" s="8">
        <f>CHOOSE( CONTROL!$C$33, 29.0392, 29.0381) * CHOOSE( CONTROL!$C$16, $D$11, 100%, $F$11)</f>
        <v>29.039200000000001</v>
      </c>
      <c r="H856" s="4">
        <f>CHOOSE( CONTROL!$C$33, 29.9193, 29.9183) * CHOOSE(CONTROL!$C$16, $D$11, 100%, $F$11)</f>
        <v>29.9193</v>
      </c>
      <c r="I856" s="8">
        <f>CHOOSE( CONTROL!$C$33, 28.6935, 28.6925) * CHOOSE(CONTROL!$C$16, $D$11, 100%, $F$11)</f>
        <v>28.6935</v>
      </c>
      <c r="J856" s="4">
        <f>CHOOSE( CONTROL!$C$33, 28.4892, 28.4881) * CHOOSE(CONTROL!$C$16, $D$11, 100%, $F$11)</f>
        <v>28.4892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67237</v>
      </c>
      <c r="B857" s="8">
        <f>CHOOSE( CONTROL!$C$33, 30.23, 30.2289) * CHOOSE(CONTROL!$C$16, $D$11, 100%, $F$11)</f>
        <v>30.23</v>
      </c>
      <c r="C857" s="8">
        <f>CHOOSE( CONTROL!$C$33, 30.2351, 30.234) * CHOOSE(CONTROL!$C$16, $D$11, 100%, $F$11)</f>
        <v>30.235099999999999</v>
      </c>
      <c r="D857" s="8">
        <f>CHOOSE( CONTROL!$C$33, 30.2377, 30.2366) * CHOOSE( CONTROL!$C$16, $D$11, 100%, $F$11)</f>
        <v>30.2377</v>
      </c>
      <c r="E857" s="12">
        <f>CHOOSE( CONTROL!$C$33, 30.2362, 30.2351) * CHOOSE( CONTROL!$C$16, $D$11, 100%, $F$11)</f>
        <v>30.2362</v>
      </c>
      <c r="F857" s="4">
        <f>CHOOSE( CONTROL!$C$33, 30.8901, 30.8891) * CHOOSE(CONTROL!$C$16, $D$11, 100%, $F$11)</f>
        <v>30.8901</v>
      </c>
      <c r="G857" s="8">
        <f>CHOOSE( CONTROL!$C$33, 29.8978, 29.8967) * CHOOSE( CONTROL!$C$16, $D$11, 100%, $F$11)</f>
        <v>29.8978</v>
      </c>
      <c r="H857" s="4">
        <f>CHOOSE( CONTROL!$C$33, 30.775, 30.774) * CHOOSE(CONTROL!$C$16, $D$11, 100%, $F$11)</f>
        <v>30.774999999999999</v>
      </c>
      <c r="I857" s="8">
        <f>CHOOSE( CONTROL!$C$33, 29.5057, 29.5047) * CHOOSE(CONTROL!$C$16, $D$11, 100%, $F$11)</f>
        <v>29.505700000000001</v>
      </c>
      <c r="J857" s="4">
        <f>CHOOSE( CONTROL!$C$33, 29.3295, 29.3284) * CHOOSE(CONTROL!$C$16, $D$11, 100%, $F$11)</f>
        <v>29.329499999999999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67266</v>
      </c>
      <c r="B858" s="8">
        <f>CHOOSE( CONTROL!$C$33, 28.2763, 28.2753) * CHOOSE(CONTROL!$C$16, $D$11, 100%, $F$11)</f>
        <v>28.276299999999999</v>
      </c>
      <c r="C858" s="8">
        <f>CHOOSE( CONTROL!$C$33, 28.2814, 28.2803) * CHOOSE(CONTROL!$C$16, $D$11, 100%, $F$11)</f>
        <v>28.281400000000001</v>
      </c>
      <c r="D858" s="8">
        <f>CHOOSE( CONTROL!$C$33, 28.284, 28.2829) * CHOOSE( CONTROL!$C$16, $D$11, 100%, $F$11)</f>
        <v>28.283999999999999</v>
      </c>
      <c r="E858" s="12">
        <f>CHOOSE( CONTROL!$C$33, 28.2825, 28.2814) * CHOOSE( CONTROL!$C$16, $D$11, 100%, $F$11)</f>
        <v>28.282499999999999</v>
      </c>
      <c r="F858" s="4">
        <f>CHOOSE( CONTROL!$C$33, 28.9365, 28.9354) * CHOOSE(CONTROL!$C$16, $D$11, 100%, $F$11)</f>
        <v>28.936499999999999</v>
      </c>
      <c r="G858" s="8">
        <f>CHOOSE( CONTROL!$C$33, 27.9669, 27.9658) * CHOOSE( CONTROL!$C$16, $D$11, 100%, $F$11)</f>
        <v>27.966899999999999</v>
      </c>
      <c r="H858" s="4">
        <f>CHOOSE( CONTROL!$C$33, 28.8442, 28.8432) * CHOOSE(CONTROL!$C$16, $D$11, 100%, $F$11)</f>
        <v>28.844200000000001</v>
      </c>
      <c r="I858" s="8">
        <f>CHOOSE( CONTROL!$C$33, 27.6085, 27.6074) * CHOOSE(CONTROL!$C$16, $D$11, 100%, $F$11)</f>
        <v>27.608499999999999</v>
      </c>
      <c r="J858" s="4">
        <f>CHOOSE( CONTROL!$C$33, 27.4334, 27.4324) * CHOOSE(CONTROL!$C$16, $D$11, 100%, $F$11)</f>
        <v>27.433399999999999</v>
      </c>
      <c r="K858" s="4"/>
      <c r="L858" s="9">
        <v>27.415299999999998</v>
      </c>
      <c r="M858" s="9">
        <v>11.285299999999999</v>
      </c>
      <c r="N858" s="9">
        <v>4.6254999999999997</v>
      </c>
      <c r="O858" s="9">
        <v>0.34989999999999999</v>
      </c>
      <c r="P858" s="9">
        <v>1.2093</v>
      </c>
      <c r="Q858" s="9">
        <v>18.417899999999999</v>
      </c>
      <c r="R858" s="9"/>
      <c r="S858" s="11"/>
    </row>
    <row r="859" spans="1:19" ht="15.75">
      <c r="A859" s="13">
        <v>67297</v>
      </c>
      <c r="B859" s="8">
        <f>CHOOSE( CONTROL!$C$33, 27.6746, 27.6735) * CHOOSE(CONTROL!$C$16, $D$11, 100%, $F$11)</f>
        <v>27.674600000000002</v>
      </c>
      <c r="C859" s="8">
        <f>CHOOSE( CONTROL!$C$33, 27.6797, 27.6786) * CHOOSE(CONTROL!$C$16, $D$11, 100%, $F$11)</f>
        <v>27.6797</v>
      </c>
      <c r="D859" s="8">
        <f>CHOOSE( CONTROL!$C$33, 27.6816, 27.6805) * CHOOSE( CONTROL!$C$16, $D$11, 100%, $F$11)</f>
        <v>27.6816</v>
      </c>
      <c r="E859" s="12">
        <f>CHOOSE( CONTROL!$C$33, 27.6804, 27.6793) * CHOOSE( CONTROL!$C$16, $D$11, 100%, $F$11)</f>
        <v>27.680399999999999</v>
      </c>
      <c r="F859" s="4">
        <f>CHOOSE( CONTROL!$C$33, 28.3348, 28.3337) * CHOOSE(CONTROL!$C$16, $D$11, 100%, $F$11)</f>
        <v>28.334800000000001</v>
      </c>
      <c r="G859" s="8">
        <f>CHOOSE( CONTROL!$C$33, 27.3717, 27.3707) * CHOOSE( CONTROL!$C$16, $D$11, 100%, $F$11)</f>
        <v>27.371700000000001</v>
      </c>
      <c r="H859" s="4">
        <f>CHOOSE( CONTROL!$C$33, 28.2496, 28.2485) * CHOOSE(CONTROL!$C$16, $D$11, 100%, $F$11)</f>
        <v>28.249600000000001</v>
      </c>
      <c r="I859" s="8">
        <f>CHOOSE( CONTROL!$C$33, 27.0221, 27.0211) * CHOOSE(CONTROL!$C$16, $D$11, 100%, $F$11)</f>
        <v>27.022099999999998</v>
      </c>
      <c r="J859" s="4">
        <f>CHOOSE( CONTROL!$C$33, 26.8495, 26.8484) * CHOOSE(CONTROL!$C$16, $D$11, 100%, $F$11)</f>
        <v>26.849499999999999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67327</v>
      </c>
      <c r="B860" s="8">
        <f>CHOOSE( CONTROL!$C$33, 28.0959, 28.0948) * CHOOSE(CONTROL!$C$16, $D$11, 100%, $F$11)</f>
        <v>28.0959</v>
      </c>
      <c r="C860" s="8">
        <f>CHOOSE( CONTROL!$C$33, 28.1004, 28.0993) * CHOOSE(CONTROL!$C$16, $D$11, 100%, $F$11)</f>
        <v>28.1004</v>
      </c>
      <c r="D860" s="8">
        <f>CHOOSE( CONTROL!$C$33, 28.1247, 28.1236) * CHOOSE( CONTROL!$C$16, $D$11, 100%, $F$11)</f>
        <v>28.124700000000001</v>
      </c>
      <c r="E860" s="12">
        <f>CHOOSE( CONTROL!$C$33, 28.1162, 28.1151) * CHOOSE( CONTROL!$C$16, $D$11, 100%, $F$11)</f>
        <v>28.116199999999999</v>
      </c>
      <c r="F860" s="4">
        <f>CHOOSE( CONTROL!$C$33, 28.8248, 28.8237) * CHOOSE(CONTROL!$C$16, $D$11, 100%, $F$11)</f>
        <v>28.8248</v>
      </c>
      <c r="G860" s="8">
        <f>CHOOSE( CONTROL!$C$33, 27.797, 27.7959) * CHOOSE( CONTROL!$C$16, $D$11, 100%, $F$11)</f>
        <v>27.797000000000001</v>
      </c>
      <c r="H860" s="4">
        <f>CHOOSE( CONTROL!$C$33, 28.7339, 28.7328) * CHOOSE(CONTROL!$C$16, $D$11, 100%, $F$11)</f>
        <v>28.733899999999998</v>
      </c>
      <c r="I860" s="8">
        <f>CHOOSE( CONTROL!$C$33, 27.3956, 27.3946) * CHOOSE(CONTROL!$C$16, $D$11, 100%, $F$11)</f>
        <v>27.395600000000002</v>
      </c>
      <c r="J860" s="4">
        <f>CHOOSE( CONTROL!$C$33, 27.2575, 27.2565) * CHOOSE(CONTROL!$C$16, $D$11, 100%, $F$11)</f>
        <v>27.2575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1.2509999999999999</v>
      </c>
      <c r="Q860" s="9">
        <v>19.053000000000001</v>
      </c>
      <c r="R860" s="9"/>
      <c r="S860" s="11"/>
    </row>
    <row r="861" spans="1:19" ht="15.75">
      <c r="A861" s="13">
        <v>67358</v>
      </c>
      <c r="B861" s="8">
        <f>CHOOSE( CONTROL!$C$33, 28.8461, 28.8445) * CHOOSE(CONTROL!$C$16, $D$11, 100%, $F$11)</f>
        <v>28.8461</v>
      </c>
      <c r="C861" s="8">
        <f>CHOOSE( CONTROL!$C$33, 28.8541, 28.8525) * CHOOSE(CONTROL!$C$16, $D$11, 100%, $F$11)</f>
        <v>28.854099999999999</v>
      </c>
      <c r="D861" s="8">
        <f>CHOOSE( CONTROL!$C$33, 28.8724, 28.8708) * CHOOSE( CONTROL!$C$16, $D$11, 100%, $F$11)</f>
        <v>28.872399999999999</v>
      </c>
      <c r="E861" s="12">
        <f>CHOOSE( CONTROL!$C$33, 28.8645, 28.8629) * CHOOSE( CONTROL!$C$16, $D$11, 100%, $F$11)</f>
        <v>28.8645</v>
      </c>
      <c r="F861" s="4">
        <f>CHOOSE( CONTROL!$C$33, 29.5737, 29.572) * CHOOSE(CONTROL!$C$16, $D$11, 100%, $F$11)</f>
        <v>29.573699999999999</v>
      </c>
      <c r="G861" s="8">
        <f>CHOOSE( CONTROL!$C$33, 28.537, 28.5354) * CHOOSE( CONTROL!$C$16, $D$11, 100%, $F$11)</f>
        <v>28.536999999999999</v>
      </c>
      <c r="H861" s="4">
        <f>CHOOSE( CONTROL!$C$33, 29.474, 29.4724) * CHOOSE(CONTROL!$C$16, $D$11, 100%, $F$11)</f>
        <v>29.474</v>
      </c>
      <c r="I861" s="8">
        <f>CHOOSE( CONTROL!$C$33, 28.1222, 28.1206) * CHOOSE(CONTROL!$C$16, $D$11, 100%, $F$11)</f>
        <v>28.122199999999999</v>
      </c>
      <c r="J861" s="4">
        <f>CHOOSE( CONTROL!$C$33, 27.9844, 27.9827) * CHOOSE(CONTROL!$C$16, $D$11, 100%, $F$11)</f>
        <v>27.984400000000001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1.2927</v>
      </c>
      <c r="Q861" s="9">
        <v>19.688099999999999</v>
      </c>
      <c r="R861" s="9"/>
      <c r="S861" s="11"/>
    </row>
    <row r="862" spans="1:19" ht="15.75">
      <c r="A862" s="13">
        <v>67388</v>
      </c>
      <c r="B862" s="8">
        <f>CHOOSE( CONTROL!$C$33, 28.3826, 28.3809) * CHOOSE(CONTROL!$C$16, $D$11, 100%, $F$11)</f>
        <v>28.3826</v>
      </c>
      <c r="C862" s="8">
        <f>CHOOSE( CONTROL!$C$33, 28.3905, 28.3889) * CHOOSE(CONTROL!$C$16, $D$11, 100%, $F$11)</f>
        <v>28.390499999999999</v>
      </c>
      <c r="D862" s="8">
        <f>CHOOSE( CONTROL!$C$33, 28.4091, 28.4074) * CHOOSE( CONTROL!$C$16, $D$11, 100%, $F$11)</f>
        <v>28.409099999999999</v>
      </c>
      <c r="E862" s="12">
        <f>CHOOSE( CONTROL!$C$33, 28.4012, 28.3995) * CHOOSE( CONTROL!$C$16, $D$11, 100%, $F$11)</f>
        <v>28.401199999999999</v>
      </c>
      <c r="F862" s="4">
        <f>CHOOSE( CONTROL!$C$33, 29.1101, 29.1085) * CHOOSE(CONTROL!$C$16, $D$11, 100%, $F$11)</f>
        <v>29.110099999999999</v>
      </c>
      <c r="G862" s="8">
        <f>CHOOSE( CONTROL!$C$33, 28.0791, 28.0774) * CHOOSE( CONTROL!$C$16, $D$11, 100%, $F$11)</f>
        <v>28.0791</v>
      </c>
      <c r="H862" s="4">
        <f>CHOOSE( CONTROL!$C$33, 29.0159, 29.0142) * CHOOSE(CONTROL!$C$16, $D$11, 100%, $F$11)</f>
        <v>29.015899999999998</v>
      </c>
      <c r="I862" s="8">
        <f>CHOOSE( CONTROL!$C$33, 27.6729, 27.6713) * CHOOSE(CONTROL!$C$16, $D$11, 100%, $F$11)</f>
        <v>27.672899999999998</v>
      </c>
      <c r="J862" s="4">
        <f>CHOOSE( CONTROL!$C$33, 27.5345, 27.5329) * CHOOSE(CONTROL!$C$16, $D$11, 100%, $F$11)</f>
        <v>27.534500000000001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1.2509999999999999</v>
      </c>
      <c r="Q862" s="9">
        <v>19.053000000000001</v>
      </c>
      <c r="R862" s="9"/>
      <c r="S862" s="11"/>
    </row>
    <row r="863" spans="1:19" ht="15.75">
      <c r="A863" s="13">
        <v>67419</v>
      </c>
      <c r="B863" s="8">
        <f>CHOOSE( CONTROL!$C$33, 29.6033, 29.6017) * CHOOSE(CONTROL!$C$16, $D$11, 100%, $F$11)</f>
        <v>29.603300000000001</v>
      </c>
      <c r="C863" s="8">
        <f>CHOOSE( CONTROL!$C$33, 29.6113, 29.6096) * CHOOSE(CONTROL!$C$16, $D$11, 100%, $F$11)</f>
        <v>29.6113</v>
      </c>
      <c r="D863" s="8">
        <f>CHOOSE( CONTROL!$C$33, 29.6301, 29.6284) * CHOOSE( CONTROL!$C$16, $D$11, 100%, $F$11)</f>
        <v>29.630099999999999</v>
      </c>
      <c r="E863" s="12">
        <f>CHOOSE( CONTROL!$C$33, 29.6221, 29.6204) * CHOOSE( CONTROL!$C$16, $D$11, 100%, $F$11)</f>
        <v>29.6221</v>
      </c>
      <c r="F863" s="4">
        <f>CHOOSE( CONTROL!$C$33, 30.3309, 30.3292) * CHOOSE(CONTROL!$C$16, $D$11, 100%, $F$11)</f>
        <v>30.3309</v>
      </c>
      <c r="G863" s="8">
        <f>CHOOSE( CONTROL!$C$33, 29.2857, 29.2841) * CHOOSE( CONTROL!$C$16, $D$11, 100%, $F$11)</f>
        <v>29.285699999999999</v>
      </c>
      <c r="H863" s="4">
        <f>CHOOSE( CONTROL!$C$33, 30.2223, 30.2207) * CHOOSE(CONTROL!$C$16, $D$11, 100%, $F$11)</f>
        <v>30.222300000000001</v>
      </c>
      <c r="I863" s="8">
        <f>CHOOSE( CONTROL!$C$33, 28.8591, 28.8575) * CHOOSE(CONTROL!$C$16, $D$11, 100%, $F$11)</f>
        <v>28.859100000000002</v>
      </c>
      <c r="J863" s="4">
        <f>CHOOSE( CONTROL!$C$33, 28.7192, 28.7176) * CHOOSE(CONTROL!$C$16, $D$11, 100%, $F$11)</f>
        <v>28.719200000000001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1.2927</v>
      </c>
      <c r="Q863" s="9">
        <v>19.688099999999999</v>
      </c>
      <c r="R863" s="9"/>
      <c r="S863" s="11"/>
    </row>
    <row r="864" spans="1:19" ht="15.75">
      <c r="A864" s="13">
        <v>67450</v>
      </c>
      <c r="B864" s="8">
        <f>CHOOSE( CONTROL!$C$33, 27.3192, 27.3175) * CHOOSE(CONTROL!$C$16, $D$11, 100%, $F$11)</f>
        <v>27.319199999999999</v>
      </c>
      <c r="C864" s="8">
        <f>CHOOSE( CONTROL!$C$33, 27.3271, 27.3255) * CHOOSE(CONTROL!$C$16, $D$11, 100%, $F$11)</f>
        <v>27.327100000000002</v>
      </c>
      <c r="D864" s="8">
        <f>CHOOSE( CONTROL!$C$33, 27.346, 27.3443) * CHOOSE( CONTROL!$C$16, $D$11, 100%, $F$11)</f>
        <v>27.346</v>
      </c>
      <c r="E864" s="12">
        <f>CHOOSE( CONTROL!$C$33, 27.3379, 27.3363) * CHOOSE( CONTROL!$C$16, $D$11, 100%, $F$11)</f>
        <v>27.337900000000001</v>
      </c>
      <c r="F864" s="4">
        <f>CHOOSE( CONTROL!$C$33, 28.0467, 28.045) * CHOOSE(CONTROL!$C$16, $D$11, 100%, $F$11)</f>
        <v>28.046700000000001</v>
      </c>
      <c r="G864" s="8">
        <f>CHOOSE( CONTROL!$C$33, 27.0284, 27.0267) * CHOOSE( CONTROL!$C$16, $D$11, 100%, $F$11)</f>
        <v>27.028400000000001</v>
      </c>
      <c r="H864" s="4">
        <f>CHOOSE( CONTROL!$C$33, 27.9649, 27.9633) * CHOOSE(CONTROL!$C$16, $D$11, 100%, $F$11)</f>
        <v>27.9649</v>
      </c>
      <c r="I864" s="8">
        <f>CHOOSE( CONTROL!$C$33, 26.6415, 26.6399) * CHOOSE(CONTROL!$C$16, $D$11, 100%, $F$11)</f>
        <v>26.641500000000001</v>
      </c>
      <c r="J864" s="4">
        <f>CHOOSE( CONTROL!$C$33, 26.5024, 26.5008) * CHOOSE(CONTROL!$C$16, $D$11, 100%, $F$11)</f>
        <v>26.502400000000002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1.2927</v>
      </c>
      <c r="Q864" s="9">
        <v>19.688099999999999</v>
      </c>
      <c r="R864" s="9"/>
      <c r="S864" s="11"/>
    </row>
    <row r="865" spans="1:19" ht="15.75">
      <c r="A865" s="13">
        <v>67480</v>
      </c>
      <c r="B865" s="8">
        <f>CHOOSE( CONTROL!$C$33, 26.7472, 26.7455) * CHOOSE(CONTROL!$C$16, $D$11, 100%, $F$11)</f>
        <v>26.747199999999999</v>
      </c>
      <c r="C865" s="8">
        <f>CHOOSE( CONTROL!$C$33, 26.7551, 26.7535) * CHOOSE(CONTROL!$C$16, $D$11, 100%, $F$11)</f>
        <v>26.755099999999999</v>
      </c>
      <c r="D865" s="8">
        <f>CHOOSE( CONTROL!$C$33, 26.7739, 26.7722) * CHOOSE( CONTROL!$C$16, $D$11, 100%, $F$11)</f>
        <v>26.773900000000001</v>
      </c>
      <c r="E865" s="12">
        <f>CHOOSE( CONTROL!$C$33, 26.7659, 26.7642) * CHOOSE( CONTROL!$C$16, $D$11, 100%, $F$11)</f>
        <v>26.765899999999998</v>
      </c>
      <c r="F865" s="4">
        <f>CHOOSE( CONTROL!$C$33, 27.4747, 27.4731) * CHOOSE(CONTROL!$C$16, $D$11, 100%, $F$11)</f>
        <v>27.474699999999999</v>
      </c>
      <c r="G865" s="8">
        <f>CHOOSE( CONTROL!$C$33, 26.463, 26.4614) * CHOOSE( CONTROL!$C$16, $D$11, 100%, $F$11)</f>
        <v>26.463000000000001</v>
      </c>
      <c r="H865" s="4">
        <f>CHOOSE( CONTROL!$C$33, 27.3996, 27.398) * CHOOSE(CONTROL!$C$16, $D$11, 100%, $F$11)</f>
        <v>27.3996</v>
      </c>
      <c r="I865" s="8">
        <f>CHOOSE( CONTROL!$C$33, 26.0857, 26.0841) * CHOOSE(CONTROL!$C$16, $D$11, 100%, $F$11)</f>
        <v>26.085699999999999</v>
      </c>
      <c r="J865" s="4">
        <f>CHOOSE( CONTROL!$C$33, 25.9473, 25.9457) * CHOOSE(CONTROL!$C$16, $D$11, 100%, $F$11)</f>
        <v>25.947299999999998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1.2509999999999999</v>
      </c>
      <c r="Q865" s="9">
        <v>19.053000000000001</v>
      </c>
      <c r="R865" s="9"/>
      <c r="S865" s="11"/>
    </row>
    <row r="866" spans="1:19" ht="15.75">
      <c r="A866" s="13">
        <v>67511</v>
      </c>
      <c r="B866" s="8">
        <f>CHOOSE( CONTROL!$C$33, 27.9325, 27.9314) * CHOOSE(CONTROL!$C$16, $D$11, 100%, $F$11)</f>
        <v>27.932500000000001</v>
      </c>
      <c r="C866" s="8">
        <f>CHOOSE( CONTROL!$C$33, 27.9378, 27.9368) * CHOOSE(CONTROL!$C$16, $D$11, 100%, $F$11)</f>
        <v>27.937799999999999</v>
      </c>
      <c r="D866" s="8">
        <f>CHOOSE( CONTROL!$C$33, 27.9623, 27.9612) * CHOOSE( CONTROL!$C$16, $D$11, 100%, $F$11)</f>
        <v>27.962299999999999</v>
      </c>
      <c r="E866" s="12">
        <f>CHOOSE( CONTROL!$C$33, 27.9536, 27.9526) * CHOOSE( CONTROL!$C$16, $D$11, 100%, $F$11)</f>
        <v>27.953600000000002</v>
      </c>
      <c r="F866" s="4">
        <f>CHOOSE( CONTROL!$C$33, 28.6618, 28.6607) * CHOOSE(CONTROL!$C$16, $D$11, 100%, $F$11)</f>
        <v>28.661799999999999</v>
      </c>
      <c r="G866" s="8">
        <f>CHOOSE( CONTROL!$C$33, 27.6363, 27.6353) * CHOOSE( CONTROL!$C$16, $D$11, 100%, $F$11)</f>
        <v>27.636299999999999</v>
      </c>
      <c r="H866" s="4">
        <f>CHOOSE( CONTROL!$C$33, 28.5728, 28.5717) * CHOOSE(CONTROL!$C$16, $D$11, 100%, $F$11)</f>
        <v>28.572800000000001</v>
      </c>
      <c r="I866" s="8">
        <f>CHOOSE( CONTROL!$C$33, 27.2392, 27.2382) * CHOOSE(CONTROL!$C$16, $D$11, 100%, $F$11)</f>
        <v>27.2392</v>
      </c>
      <c r="J866" s="4">
        <f>CHOOSE( CONTROL!$C$33, 27.0994, 27.0983) * CHOOSE(CONTROL!$C$16, $D$11, 100%, $F$11)</f>
        <v>27.099399999999999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1.2927</v>
      </c>
      <c r="Q866" s="9">
        <v>19.688099999999999</v>
      </c>
      <c r="R866" s="9"/>
      <c r="S866" s="11"/>
    </row>
    <row r="867" spans="1:19" ht="15.75">
      <c r="A867" s="13">
        <v>67541</v>
      </c>
      <c r="B867" s="8">
        <f>CHOOSE( CONTROL!$C$33, 30.1242, 30.1232) * CHOOSE(CONTROL!$C$16, $D$11, 100%, $F$11)</f>
        <v>30.124199999999998</v>
      </c>
      <c r="C867" s="8">
        <f>CHOOSE( CONTROL!$C$33, 30.1293, 30.1282) * CHOOSE(CONTROL!$C$16, $D$11, 100%, $F$11)</f>
        <v>30.129300000000001</v>
      </c>
      <c r="D867" s="8">
        <f>CHOOSE( CONTROL!$C$33, 30.1197, 30.1186) * CHOOSE( CONTROL!$C$16, $D$11, 100%, $F$11)</f>
        <v>30.119700000000002</v>
      </c>
      <c r="E867" s="12">
        <f>CHOOSE( CONTROL!$C$33, 30.1227, 30.1216) * CHOOSE( CONTROL!$C$16, $D$11, 100%, $F$11)</f>
        <v>30.122699999999998</v>
      </c>
      <c r="F867" s="4">
        <f>CHOOSE( CONTROL!$C$33, 30.7844, 30.7833) * CHOOSE(CONTROL!$C$16, $D$11, 100%, $F$11)</f>
        <v>30.784400000000002</v>
      </c>
      <c r="G867" s="8">
        <f>CHOOSE( CONTROL!$C$33, 29.7894, 29.7883) * CHOOSE( CONTROL!$C$16, $D$11, 100%, $F$11)</f>
        <v>29.789400000000001</v>
      </c>
      <c r="H867" s="4">
        <f>CHOOSE( CONTROL!$C$33, 30.6705, 30.6694) * CHOOSE(CONTROL!$C$16, $D$11, 100%, $F$11)</f>
        <v>30.670500000000001</v>
      </c>
      <c r="I867" s="8">
        <f>CHOOSE( CONTROL!$C$33, 29.4271, 29.4261) * CHOOSE(CONTROL!$C$16, $D$11, 100%, $F$11)</f>
        <v>29.427099999999999</v>
      </c>
      <c r="J867" s="4">
        <f>CHOOSE( CONTROL!$C$33, 29.2268, 29.2258) * CHOOSE(CONTROL!$C$16, $D$11, 100%, $F$11)</f>
        <v>29.226800000000001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67572</v>
      </c>
      <c r="B868" s="8">
        <f>CHOOSE( CONTROL!$C$33, 30.0695, 30.0684) * CHOOSE(CONTROL!$C$16, $D$11, 100%, $F$11)</f>
        <v>30.069500000000001</v>
      </c>
      <c r="C868" s="8">
        <f>CHOOSE( CONTROL!$C$33, 30.0745, 30.0735) * CHOOSE(CONTROL!$C$16, $D$11, 100%, $F$11)</f>
        <v>30.0745</v>
      </c>
      <c r="D868" s="8">
        <f>CHOOSE( CONTROL!$C$33, 30.0664, 30.0653) * CHOOSE( CONTROL!$C$16, $D$11, 100%, $F$11)</f>
        <v>30.066400000000002</v>
      </c>
      <c r="E868" s="12">
        <f>CHOOSE( CONTROL!$C$33, 30.0688, 30.0678) * CHOOSE( CONTROL!$C$16, $D$11, 100%, $F$11)</f>
        <v>30.0688</v>
      </c>
      <c r="F868" s="4">
        <f>CHOOSE( CONTROL!$C$33, 30.7296, 30.7285) * CHOOSE(CONTROL!$C$16, $D$11, 100%, $F$11)</f>
        <v>30.729600000000001</v>
      </c>
      <c r="G868" s="8">
        <f>CHOOSE( CONTROL!$C$33, 29.7363, 29.7352) * CHOOSE( CONTROL!$C$16, $D$11, 100%, $F$11)</f>
        <v>29.7363</v>
      </c>
      <c r="H868" s="4">
        <f>CHOOSE( CONTROL!$C$33, 30.6164, 30.6153) * CHOOSE(CONTROL!$C$16, $D$11, 100%, $F$11)</f>
        <v>30.616399999999999</v>
      </c>
      <c r="I868" s="8">
        <f>CHOOSE( CONTROL!$C$33, 29.3784, 29.3773) * CHOOSE(CONTROL!$C$16, $D$11, 100%, $F$11)</f>
        <v>29.378399999999999</v>
      </c>
      <c r="J868" s="4">
        <f>CHOOSE( CONTROL!$C$33, 29.1737, 29.1726) * CHOOSE(CONTROL!$C$16, $D$11, 100%, $F$11)</f>
        <v>29.1737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67603</v>
      </c>
      <c r="B869" s="8">
        <f>CHOOSE( CONTROL!$C$33, 30.9561, 30.955) * CHOOSE(CONTROL!$C$16, $D$11, 100%, $F$11)</f>
        <v>30.956099999999999</v>
      </c>
      <c r="C869" s="8">
        <f>CHOOSE( CONTROL!$C$33, 30.9612, 30.9601) * CHOOSE(CONTROL!$C$16, $D$11, 100%, $F$11)</f>
        <v>30.961200000000002</v>
      </c>
      <c r="D869" s="8">
        <f>CHOOSE( CONTROL!$C$33, 30.9638, 30.9628) * CHOOSE( CONTROL!$C$16, $D$11, 100%, $F$11)</f>
        <v>30.963799999999999</v>
      </c>
      <c r="E869" s="12">
        <f>CHOOSE( CONTROL!$C$33, 30.9623, 30.9613) * CHOOSE( CONTROL!$C$16, $D$11, 100%, $F$11)</f>
        <v>30.962299999999999</v>
      </c>
      <c r="F869" s="4">
        <f>CHOOSE( CONTROL!$C$33, 31.6162, 31.6152) * CHOOSE(CONTROL!$C$16, $D$11, 100%, $F$11)</f>
        <v>31.616199999999999</v>
      </c>
      <c r="G869" s="8">
        <f>CHOOSE( CONTROL!$C$33, 30.6154, 30.6143) * CHOOSE( CONTROL!$C$16, $D$11, 100%, $F$11)</f>
        <v>30.615400000000001</v>
      </c>
      <c r="H869" s="4">
        <f>CHOOSE( CONTROL!$C$33, 31.4926, 31.4916) * CHOOSE(CONTROL!$C$16, $D$11, 100%, $F$11)</f>
        <v>31.492599999999999</v>
      </c>
      <c r="I869" s="8">
        <f>CHOOSE( CONTROL!$C$33, 30.2108, 30.2097) * CHOOSE(CONTROL!$C$16, $D$11, 100%, $F$11)</f>
        <v>30.210799999999999</v>
      </c>
      <c r="J869" s="4">
        <f>CHOOSE( CONTROL!$C$33, 30.0342, 30.0331) * CHOOSE(CONTROL!$C$16, $D$11, 100%, $F$11)</f>
        <v>30.034199999999998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67631</v>
      </c>
      <c r="B870" s="8">
        <f>CHOOSE( CONTROL!$C$33, 28.9555, 28.9544) * CHOOSE(CONTROL!$C$16, $D$11, 100%, $F$11)</f>
        <v>28.955500000000001</v>
      </c>
      <c r="C870" s="8">
        <f>CHOOSE( CONTROL!$C$33, 28.9606, 28.9595) * CHOOSE(CONTROL!$C$16, $D$11, 100%, $F$11)</f>
        <v>28.960599999999999</v>
      </c>
      <c r="D870" s="8">
        <f>CHOOSE( CONTROL!$C$33, 28.9631, 28.9621) * CHOOSE( CONTROL!$C$16, $D$11, 100%, $F$11)</f>
        <v>28.963100000000001</v>
      </c>
      <c r="E870" s="12">
        <f>CHOOSE( CONTROL!$C$33, 28.9616, 28.9606) * CHOOSE( CONTROL!$C$16, $D$11, 100%, $F$11)</f>
        <v>28.961600000000001</v>
      </c>
      <c r="F870" s="4">
        <f>CHOOSE( CONTROL!$C$33, 29.6156, 29.6146) * CHOOSE(CONTROL!$C$16, $D$11, 100%, $F$11)</f>
        <v>29.615600000000001</v>
      </c>
      <c r="G870" s="8">
        <f>CHOOSE( CONTROL!$C$33, 28.6381, 28.6371) * CHOOSE( CONTROL!$C$16, $D$11, 100%, $F$11)</f>
        <v>28.638100000000001</v>
      </c>
      <c r="H870" s="4">
        <f>CHOOSE( CONTROL!$C$33, 29.5155, 29.5144) * CHOOSE(CONTROL!$C$16, $D$11, 100%, $F$11)</f>
        <v>29.515499999999999</v>
      </c>
      <c r="I870" s="8">
        <f>CHOOSE( CONTROL!$C$33, 28.268, 28.2669) * CHOOSE(CONTROL!$C$16, $D$11, 100%, $F$11)</f>
        <v>28.268000000000001</v>
      </c>
      <c r="J870" s="4">
        <f>CHOOSE( CONTROL!$C$33, 28.0926, 28.0915) * CHOOSE(CONTROL!$C$16, $D$11, 100%, $F$11)</f>
        <v>28.092600000000001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67662</v>
      </c>
      <c r="B871" s="8">
        <f>CHOOSE( CONTROL!$C$33, 28.3393, 28.3382) * CHOOSE(CONTROL!$C$16, $D$11, 100%, $F$11)</f>
        <v>28.339300000000001</v>
      </c>
      <c r="C871" s="8">
        <f>CHOOSE( CONTROL!$C$33, 28.3444, 28.3433) * CHOOSE(CONTROL!$C$16, $D$11, 100%, $F$11)</f>
        <v>28.3444</v>
      </c>
      <c r="D871" s="8">
        <f>CHOOSE( CONTROL!$C$33, 28.3463, 28.3452) * CHOOSE( CONTROL!$C$16, $D$11, 100%, $F$11)</f>
        <v>28.346299999999999</v>
      </c>
      <c r="E871" s="12">
        <f>CHOOSE( CONTROL!$C$33, 28.3451, 28.344) * CHOOSE( CONTROL!$C$16, $D$11, 100%, $F$11)</f>
        <v>28.345099999999999</v>
      </c>
      <c r="F871" s="4">
        <f>CHOOSE( CONTROL!$C$33, 28.9995, 28.9984) * CHOOSE(CONTROL!$C$16, $D$11, 100%, $F$11)</f>
        <v>28.999500000000001</v>
      </c>
      <c r="G871" s="8">
        <f>CHOOSE( CONTROL!$C$33, 28.0287, 28.0276) * CHOOSE( CONTROL!$C$16, $D$11, 100%, $F$11)</f>
        <v>28.028700000000001</v>
      </c>
      <c r="H871" s="4">
        <f>CHOOSE( CONTROL!$C$33, 28.9065, 28.9054) * CHOOSE(CONTROL!$C$16, $D$11, 100%, $F$11)</f>
        <v>28.906500000000001</v>
      </c>
      <c r="I871" s="8">
        <f>CHOOSE( CONTROL!$C$33, 27.6675, 27.6665) * CHOOSE(CONTROL!$C$16, $D$11, 100%, $F$11)</f>
        <v>27.6675</v>
      </c>
      <c r="J871" s="4">
        <f>CHOOSE( CONTROL!$C$33, 27.4946, 27.4935) * CHOOSE(CONTROL!$C$16, $D$11, 100%, $F$11)</f>
        <v>27.494599999999998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67692</v>
      </c>
      <c r="B872" s="8">
        <f>CHOOSE( CONTROL!$C$33, 28.7707, 28.7696) * CHOOSE(CONTROL!$C$16, $D$11, 100%, $F$11)</f>
        <v>28.770700000000001</v>
      </c>
      <c r="C872" s="8">
        <f>CHOOSE( CONTROL!$C$33, 28.7752, 28.7741) * CHOOSE(CONTROL!$C$16, $D$11, 100%, $F$11)</f>
        <v>28.775200000000002</v>
      </c>
      <c r="D872" s="8">
        <f>CHOOSE( CONTROL!$C$33, 28.7995, 28.7984) * CHOOSE( CONTROL!$C$16, $D$11, 100%, $F$11)</f>
        <v>28.799499999999998</v>
      </c>
      <c r="E872" s="12">
        <f>CHOOSE( CONTROL!$C$33, 28.791, 28.7899) * CHOOSE( CONTROL!$C$16, $D$11, 100%, $F$11)</f>
        <v>28.791</v>
      </c>
      <c r="F872" s="4">
        <f>CHOOSE( CONTROL!$C$33, 29.4996, 29.4985) * CHOOSE(CONTROL!$C$16, $D$11, 100%, $F$11)</f>
        <v>29.499600000000001</v>
      </c>
      <c r="G872" s="8">
        <f>CHOOSE( CONTROL!$C$33, 28.4639, 28.4628) * CHOOSE( CONTROL!$C$16, $D$11, 100%, $F$11)</f>
        <v>28.463899999999999</v>
      </c>
      <c r="H872" s="4">
        <f>CHOOSE( CONTROL!$C$33, 29.4008, 29.3997) * CHOOSE(CONTROL!$C$16, $D$11, 100%, $F$11)</f>
        <v>29.4008</v>
      </c>
      <c r="I872" s="8">
        <f>CHOOSE( CONTROL!$C$33, 28.0509, 28.0498) * CHOOSE(CONTROL!$C$16, $D$11, 100%, $F$11)</f>
        <v>28.050899999999999</v>
      </c>
      <c r="J872" s="4">
        <f>CHOOSE( CONTROL!$C$33, 27.9124, 27.9114) * CHOOSE(CONTROL!$C$16, $D$11, 100%, $F$11)</f>
        <v>27.912400000000002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1.2509999999999999</v>
      </c>
      <c r="Q872" s="9">
        <v>19.053000000000001</v>
      </c>
      <c r="R872" s="9"/>
      <c r="S872" s="11"/>
    </row>
    <row r="873" spans="1:19" ht="15.75">
      <c r="A873" s="13">
        <v>67723</v>
      </c>
      <c r="B873" s="8">
        <f>CHOOSE( CONTROL!$C$33, 29.5389, 29.5373) * CHOOSE(CONTROL!$C$16, $D$11, 100%, $F$11)</f>
        <v>29.538900000000002</v>
      </c>
      <c r="C873" s="8">
        <f>CHOOSE( CONTROL!$C$33, 29.5469, 29.5452) * CHOOSE(CONTROL!$C$16, $D$11, 100%, $F$11)</f>
        <v>29.546900000000001</v>
      </c>
      <c r="D873" s="8">
        <f>CHOOSE( CONTROL!$C$33, 29.5652, 29.5636) * CHOOSE( CONTROL!$C$16, $D$11, 100%, $F$11)</f>
        <v>29.565200000000001</v>
      </c>
      <c r="E873" s="12">
        <f>CHOOSE( CONTROL!$C$33, 29.5573, 29.5557) * CHOOSE( CONTROL!$C$16, $D$11, 100%, $F$11)</f>
        <v>29.557300000000001</v>
      </c>
      <c r="F873" s="4">
        <f>CHOOSE( CONTROL!$C$33, 30.2665, 30.2648) * CHOOSE(CONTROL!$C$16, $D$11, 100%, $F$11)</f>
        <v>30.266500000000001</v>
      </c>
      <c r="G873" s="8">
        <f>CHOOSE( CONTROL!$C$33, 29.2217, 29.2201) * CHOOSE( CONTROL!$C$16, $D$11, 100%, $F$11)</f>
        <v>29.221699999999998</v>
      </c>
      <c r="H873" s="4">
        <f>CHOOSE( CONTROL!$C$33, 30.1587, 30.157) * CHOOSE(CONTROL!$C$16, $D$11, 100%, $F$11)</f>
        <v>30.1587</v>
      </c>
      <c r="I873" s="8">
        <f>CHOOSE( CONTROL!$C$33, 28.7949, 28.7933) * CHOOSE(CONTROL!$C$16, $D$11, 100%, $F$11)</f>
        <v>28.794899999999998</v>
      </c>
      <c r="J873" s="4">
        <f>CHOOSE( CONTROL!$C$33, 28.6567, 28.6551) * CHOOSE(CONTROL!$C$16, $D$11, 100%, $F$11)</f>
        <v>28.656700000000001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1.2927</v>
      </c>
      <c r="Q873" s="9">
        <v>19.688099999999999</v>
      </c>
      <c r="R873" s="9"/>
      <c r="S873" s="11"/>
    </row>
    <row r="874" spans="1:19" ht="15.75">
      <c r="A874" s="13">
        <v>67753</v>
      </c>
      <c r="B874" s="8">
        <f>CHOOSE( CONTROL!$C$33, 29.0642, 29.0626) * CHOOSE(CONTROL!$C$16, $D$11, 100%, $F$11)</f>
        <v>29.0642</v>
      </c>
      <c r="C874" s="8">
        <f>CHOOSE( CONTROL!$C$33, 29.0722, 29.0705) * CHOOSE(CONTROL!$C$16, $D$11, 100%, $F$11)</f>
        <v>29.072199999999999</v>
      </c>
      <c r="D874" s="8">
        <f>CHOOSE( CONTROL!$C$33, 29.0907, 29.0891) * CHOOSE( CONTROL!$C$16, $D$11, 100%, $F$11)</f>
        <v>29.090699999999998</v>
      </c>
      <c r="E874" s="12">
        <f>CHOOSE( CONTROL!$C$33, 29.0828, 29.0812) * CHOOSE( CONTROL!$C$16, $D$11, 100%, $F$11)</f>
        <v>29.082799999999999</v>
      </c>
      <c r="F874" s="4">
        <f>CHOOSE( CONTROL!$C$33, 29.7918, 29.7901) * CHOOSE(CONTROL!$C$16, $D$11, 100%, $F$11)</f>
        <v>29.791799999999999</v>
      </c>
      <c r="G874" s="8">
        <f>CHOOSE( CONTROL!$C$33, 28.7528, 28.7511) * CHOOSE( CONTROL!$C$16, $D$11, 100%, $F$11)</f>
        <v>28.752800000000001</v>
      </c>
      <c r="H874" s="4">
        <f>CHOOSE( CONTROL!$C$33, 29.6895, 29.6879) * CHOOSE(CONTROL!$C$16, $D$11, 100%, $F$11)</f>
        <v>29.689499999999999</v>
      </c>
      <c r="I874" s="8">
        <f>CHOOSE( CONTROL!$C$33, 28.3348, 28.3332) * CHOOSE(CONTROL!$C$16, $D$11, 100%, $F$11)</f>
        <v>28.334800000000001</v>
      </c>
      <c r="J874" s="4">
        <f>CHOOSE( CONTROL!$C$33, 28.196, 28.1944) * CHOOSE(CONTROL!$C$16, $D$11, 100%, $F$11)</f>
        <v>28.196000000000002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1.2509999999999999</v>
      </c>
      <c r="Q874" s="9">
        <v>19.053000000000001</v>
      </c>
      <c r="R874" s="9"/>
      <c r="S874" s="11"/>
    </row>
    <row r="875" spans="1:19" ht="15.75">
      <c r="A875" s="13">
        <v>67784</v>
      </c>
      <c r="B875" s="8">
        <f>CHOOSE( CONTROL!$C$33, 30.3143, 30.3127) * CHOOSE(CONTROL!$C$16, $D$11, 100%, $F$11)</f>
        <v>30.314299999999999</v>
      </c>
      <c r="C875" s="8">
        <f>CHOOSE( CONTROL!$C$33, 30.3223, 30.3206) * CHOOSE(CONTROL!$C$16, $D$11, 100%, $F$11)</f>
        <v>30.322299999999998</v>
      </c>
      <c r="D875" s="8">
        <f>CHOOSE( CONTROL!$C$33, 30.3411, 30.3394) * CHOOSE( CONTROL!$C$16, $D$11, 100%, $F$11)</f>
        <v>30.341100000000001</v>
      </c>
      <c r="E875" s="12">
        <f>CHOOSE( CONTROL!$C$33, 30.3331, 30.3314) * CHOOSE( CONTROL!$C$16, $D$11, 100%, $F$11)</f>
        <v>30.333100000000002</v>
      </c>
      <c r="F875" s="4">
        <f>CHOOSE( CONTROL!$C$33, 31.0419, 31.0402) * CHOOSE(CONTROL!$C$16, $D$11, 100%, $F$11)</f>
        <v>31.041899999999998</v>
      </c>
      <c r="G875" s="8">
        <f>CHOOSE( CONTROL!$C$33, 29.9884, 29.9868) * CHOOSE( CONTROL!$C$16, $D$11, 100%, $F$11)</f>
        <v>29.988399999999999</v>
      </c>
      <c r="H875" s="4">
        <f>CHOOSE( CONTROL!$C$33, 30.925, 30.9233) * CHOOSE(CONTROL!$C$16, $D$11, 100%, $F$11)</f>
        <v>30.925000000000001</v>
      </c>
      <c r="I875" s="8">
        <f>CHOOSE( CONTROL!$C$33, 29.5495, 29.5479) * CHOOSE(CONTROL!$C$16, $D$11, 100%, $F$11)</f>
        <v>29.549499999999998</v>
      </c>
      <c r="J875" s="4">
        <f>CHOOSE( CONTROL!$C$33, 29.4092, 29.4076) * CHOOSE(CONTROL!$C$16, $D$11, 100%, $F$11)</f>
        <v>29.409199999999998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1.2927</v>
      </c>
      <c r="Q875" s="9">
        <v>19.688099999999999</v>
      </c>
      <c r="R875" s="9"/>
      <c r="S875" s="11"/>
    </row>
    <row r="876" spans="1:19" ht="15.75">
      <c r="A876" s="13">
        <v>67815</v>
      </c>
      <c r="B876" s="8">
        <f>CHOOSE( CONTROL!$C$33, 27.9753, 27.9736) * CHOOSE(CONTROL!$C$16, $D$11, 100%, $F$11)</f>
        <v>27.975300000000001</v>
      </c>
      <c r="C876" s="8">
        <f>CHOOSE( CONTROL!$C$33, 27.9832, 27.9816) * CHOOSE(CONTROL!$C$16, $D$11, 100%, $F$11)</f>
        <v>27.9832</v>
      </c>
      <c r="D876" s="8">
        <f>CHOOSE( CONTROL!$C$33, 28.0021, 28.0004) * CHOOSE( CONTROL!$C$16, $D$11, 100%, $F$11)</f>
        <v>28.002099999999999</v>
      </c>
      <c r="E876" s="12">
        <f>CHOOSE( CONTROL!$C$33, 27.994, 27.9924) * CHOOSE( CONTROL!$C$16, $D$11, 100%, $F$11)</f>
        <v>27.994</v>
      </c>
      <c r="F876" s="4">
        <f>CHOOSE( CONTROL!$C$33, 28.7028, 28.7011) * CHOOSE(CONTROL!$C$16, $D$11, 100%, $F$11)</f>
        <v>28.7028</v>
      </c>
      <c r="G876" s="8">
        <f>CHOOSE( CONTROL!$C$33, 27.6768, 27.6752) * CHOOSE( CONTROL!$C$16, $D$11, 100%, $F$11)</f>
        <v>27.6768</v>
      </c>
      <c r="H876" s="4">
        <f>CHOOSE( CONTROL!$C$33, 28.6133, 28.6117) * CHOOSE(CONTROL!$C$16, $D$11, 100%, $F$11)</f>
        <v>28.613299999999999</v>
      </c>
      <c r="I876" s="8">
        <f>CHOOSE( CONTROL!$C$33, 27.2786, 27.2769) * CHOOSE(CONTROL!$C$16, $D$11, 100%, $F$11)</f>
        <v>27.278600000000001</v>
      </c>
      <c r="J876" s="4">
        <f>CHOOSE( CONTROL!$C$33, 27.1392, 27.1376) * CHOOSE(CONTROL!$C$16, $D$11, 100%, $F$11)</f>
        <v>27.139199999999999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1.2927</v>
      </c>
      <c r="Q876" s="9">
        <v>19.688099999999999</v>
      </c>
      <c r="R876" s="9"/>
      <c r="S876" s="11"/>
    </row>
    <row r="877" spans="1:19" ht="15.75">
      <c r="A877" s="13">
        <v>67845</v>
      </c>
      <c r="B877" s="8">
        <f>CHOOSE( CONTROL!$C$33, 27.3895, 27.3879) * CHOOSE(CONTROL!$C$16, $D$11, 100%, $F$11)</f>
        <v>27.389500000000002</v>
      </c>
      <c r="C877" s="8">
        <f>CHOOSE( CONTROL!$C$33, 27.3975, 27.3958) * CHOOSE(CONTROL!$C$16, $D$11, 100%, $F$11)</f>
        <v>27.397500000000001</v>
      </c>
      <c r="D877" s="8">
        <f>CHOOSE( CONTROL!$C$33, 27.4163, 27.4146) * CHOOSE( CONTROL!$C$16, $D$11, 100%, $F$11)</f>
        <v>27.4163</v>
      </c>
      <c r="E877" s="12">
        <f>CHOOSE( CONTROL!$C$33, 27.4083, 27.4066) * CHOOSE( CONTROL!$C$16, $D$11, 100%, $F$11)</f>
        <v>27.408300000000001</v>
      </c>
      <c r="F877" s="4">
        <f>CHOOSE( CONTROL!$C$33, 28.1171, 28.1154) * CHOOSE(CONTROL!$C$16, $D$11, 100%, $F$11)</f>
        <v>28.117100000000001</v>
      </c>
      <c r="G877" s="8">
        <f>CHOOSE( CONTROL!$C$33, 27.0978, 27.0962) * CHOOSE( CONTROL!$C$16, $D$11, 100%, $F$11)</f>
        <v>27.097799999999999</v>
      </c>
      <c r="H877" s="4">
        <f>CHOOSE( CONTROL!$C$33, 28.0344, 28.0328) * CHOOSE(CONTROL!$C$16, $D$11, 100%, $F$11)</f>
        <v>28.034400000000002</v>
      </c>
      <c r="I877" s="8">
        <f>CHOOSE( CONTROL!$C$33, 26.7094, 26.7078) * CHOOSE(CONTROL!$C$16, $D$11, 100%, $F$11)</f>
        <v>26.709399999999999</v>
      </c>
      <c r="J877" s="4">
        <f>CHOOSE( CONTROL!$C$33, 26.5707, 26.5691) * CHOOSE(CONTROL!$C$16, $D$11, 100%, $F$11)</f>
        <v>26.570699999999999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1.2509999999999999</v>
      </c>
      <c r="Q877" s="9">
        <v>19.053000000000001</v>
      </c>
      <c r="R877" s="9"/>
      <c r="S877" s="11"/>
    </row>
    <row r="878" spans="1:19" ht="15.75">
      <c r="A878" s="13">
        <v>67876</v>
      </c>
      <c r="B878" s="8">
        <f>CHOOSE( CONTROL!$C$33, 28.6034, 28.6023) * CHOOSE(CONTROL!$C$16, $D$11, 100%, $F$11)</f>
        <v>28.603400000000001</v>
      </c>
      <c r="C878" s="8">
        <f>CHOOSE( CONTROL!$C$33, 28.6087, 28.6076) * CHOOSE(CONTROL!$C$16, $D$11, 100%, $F$11)</f>
        <v>28.608699999999999</v>
      </c>
      <c r="D878" s="8">
        <f>CHOOSE( CONTROL!$C$33, 28.6331, 28.6321) * CHOOSE( CONTROL!$C$16, $D$11, 100%, $F$11)</f>
        <v>28.633099999999999</v>
      </c>
      <c r="E878" s="12">
        <f>CHOOSE( CONTROL!$C$33, 28.6245, 28.6234) * CHOOSE( CONTROL!$C$16, $D$11, 100%, $F$11)</f>
        <v>28.624500000000001</v>
      </c>
      <c r="F878" s="4">
        <f>CHOOSE( CONTROL!$C$33, 29.3327, 29.3316) * CHOOSE(CONTROL!$C$16, $D$11, 100%, $F$11)</f>
        <v>29.332699999999999</v>
      </c>
      <c r="G878" s="8">
        <f>CHOOSE( CONTROL!$C$33, 28.2994, 28.2983) * CHOOSE( CONTROL!$C$16, $D$11, 100%, $F$11)</f>
        <v>28.299399999999999</v>
      </c>
      <c r="H878" s="4">
        <f>CHOOSE( CONTROL!$C$33, 29.2358, 29.2347) * CHOOSE(CONTROL!$C$16, $D$11, 100%, $F$11)</f>
        <v>29.235800000000001</v>
      </c>
      <c r="I878" s="8">
        <f>CHOOSE( CONTROL!$C$33, 27.8907, 27.8896) * CHOOSE(CONTROL!$C$16, $D$11, 100%, $F$11)</f>
        <v>27.890699999999999</v>
      </c>
      <c r="J878" s="4">
        <f>CHOOSE( CONTROL!$C$33, 27.7505, 27.7494) * CHOOSE(CONTROL!$C$16, $D$11, 100%, $F$11)</f>
        <v>27.750499999999999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1.2927</v>
      </c>
      <c r="Q878" s="9">
        <v>19.688099999999999</v>
      </c>
      <c r="R878" s="9"/>
      <c r="S878" s="11"/>
    </row>
    <row r="879" spans="1:19" ht="15.75">
      <c r="A879" s="13">
        <v>67906</v>
      </c>
      <c r="B879" s="8">
        <f>CHOOSE( CONTROL!$C$33, 30.8478, 30.8467) * CHOOSE(CONTROL!$C$16, $D$11, 100%, $F$11)</f>
        <v>30.847799999999999</v>
      </c>
      <c r="C879" s="8">
        <f>CHOOSE( CONTROL!$C$33, 30.8529, 30.8518) * CHOOSE(CONTROL!$C$16, $D$11, 100%, $F$11)</f>
        <v>30.852900000000002</v>
      </c>
      <c r="D879" s="8">
        <f>CHOOSE( CONTROL!$C$33, 30.8433, 30.8422) * CHOOSE( CONTROL!$C$16, $D$11, 100%, $F$11)</f>
        <v>30.843299999999999</v>
      </c>
      <c r="E879" s="12">
        <f>CHOOSE( CONTROL!$C$33, 30.8463, 30.8452) * CHOOSE( CONTROL!$C$16, $D$11, 100%, $F$11)</f>
        <v>30.846299999999999</v>
      </c>
      <c r="F879" s="4">
        <f>CHOOSE( CONTROL!$C$33, 31.5079, 31.5068) * CHOOSE(CONTROL!$C$16, $D$11, 100%, $F$11)</f>
        <v>31.507899999999999</v>
      </c>
      <c r="G879" s="8">
        <f>CHOOSE( CONTROL!$C$33, 30.5045, 30.5034) * CHOOSE( CONTROL!$C$16, $D$11, 100%, $F$11)</f>
        <v>30.5045</v>
      </c>
      <c r="H879" s="4">
        <f>CHOOSE( CONTROL!$C$33, 31.3856, 31.3845) * CHOOSE(CONTROL!$C$16, $D$11, 100%, $F$11)</f>
        <v>31.3856</v>
      </c>
      <c r="I879" s="8">
        <f>CHOOSE( CONTROL!$C$33, 30.1297, 30.1286) * CHOOSE(CONTROL!$C$16, $D$11, 100%, $F$11)</f>
        <v>30.1297</v>
      </c>
      <c r="J879" s="4">
        <f>CHOOSE( CONTROL!$C$33, 29.929, 29.928) * CHOOSE(CONTROL!$C$16, $D$11, 100%, $F$11)</f>
        <v>29.928999999999998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67937</v>
      </c>
      <c r="B880" s="8">
        <f>CHOOSE( CONTROL!$C$33, 30.7917, 30.7906) * CHOOSE(CONTROL!$C$16, $D$11, 100%, $F$11)</f>
        <v>30.791699999999999</v>
      </c>
      <c r="C880" s="8">
        <f>CHOOSE( CONTROL!$C$33, 30.7968, 30.7957) * CHOOSE(CONTROL!$C$16, $D$11, 100%, $F$11)</f>
        <v>30.796800000000001</v>
      </c>
      <c r="D880" s="8">
        <f>CHOOSE( CONTROL!$C$33, 30.7886, 30.7875) * CHOOSE( CONTROL!$C$16, $D$11, 100%, $F$11)</f>
        <v>30.788599999999999</v>
      </c>
      <c r="E880" s="12">
        <f>CHOOSE( CONTROL!$C$33, 30.7911, 30.79) * CHOOSE( CONTROL!$C$16, $D$11, 100%, $F$11)</f>
        <v>30.7911</v>
      </c>
      <c r="F880" s="4">
        <f>CHOOSE( CONTROL!$C$33, 31.4518, 31.4508) * CHOOSE(CONTROL!$C$16, $D$11, 100%, $F$11)</f>
        <v>31.451799999999999</v>
      </c>
      <c r="G880" s="8">
        <f>CHOOSE( CONTROL!$C$33, 30.4501, 30.449) * CHOOSE( CONTROL!$C$16, $D$11, 100%, $F$11)</f>
        <v>30.450099999999999</v>
      </c>
      <c r="H880" s="4">
        <f>CHOOSE( CONTROL!$C$33, 31.3302, 31.3291) * CHOOSE(CONTROL!$C$16, $D$11, 100%, $F$11)</f>
        <v>31.330200000000001</v>
      </c>
      <c r="I880" s="8">
        <f>CHOOSE( CONTROL!$C$33, 30.0797, 30.0786) * CHOOSE(CONTROL!$C$16, $D$11, 100%, $F$11)</f>
        <v>30.079699999999999</v>
      </c>
      <c r="J880" s="4">
        <f>CHOOSE( CONTROL!$C$33, 29.8746, 29.8736) * CHOOSE(CONTROL!$C$16, $D$11, 100%, $F$11)</f>
        <v>29.874600000000001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67968</v>
      </c>
      <c r="B881" s="8">
        <f>CHOOSE( CONTROL!$C$33, 31.6997, 31.6986) * CHOOSE(CONTROL!$C$16, $D$11, 100%, $F$11)</f>
        <v>31.6997</v>
      </c>
      <c r="C881" s="8">
        <f>CHOOSE( CONTROL!$C$33, 31.7047, 31.7037) * CHOOSE(CONTROL!$C$16, $D$11, 100%, $F$11)</f>
        <v>31.704699999999999</v>
      </c>
      <c r="D881" s="8">
        <f>CHOOSE( CONTROL!$C$33, 31.7074, 31.7063) * CHOOSE( CONTROL!$C$16, $D$11, 100%, $F$11)</f>
        <v>31.7074</v>
      </c>
      <c r="E881" s="12">
        <f>CHOOSE( CONTROL!$C$33, 31.7059, 31.7048) * CHOOSE( CONTROL!$C$16, $D$11, 100%, $F$11)</f>
        <v>31.7059</v>
      </c>
      <c r="F881" s="4">
        <f>CHOOSE( CONTROL!$C$33, 32.3598, 32.3587) * CHOOSE(CONTROL!$C$16, $D$11, 100%, $F$11)</f>
        <v>32.3598</v>
      </c>
      <c r="G881" s="8">
        <f>CHOOSE( CONTROL!$C$33, 31.3502, 31.3491) * CHOOSE( CONTROL!$C$16, $D$11, 100%, $F$11)</f>
        <v>31.350200000000001</v>
      </c>
      <c r="H881" s="4">
        <f>CHOOSE( CONTROL!$C$33, 32.2275, 32.2264) * CHOOSE(CONTROL!$C$16, $D$11, 100%, $F$11)</f>
        <v>32.227499999999999</v>
      </c>
      <c r="I881" s="8">
        <f>CHOOSE( CONTROL!$C$33, 30.9328, 30.9317) * CHOOSE(CONTROL!$C$16, $D$11, 100%, $F$11)</f>
        <v>30.9328</v>
      </c>
      <c r="J881" s="4">
        <f>CHOOSE( CONTROL!$C$33, 30.7558, 30.7547) * CHOOSE(CONTROL!$C$16, $D$11, 100%, $F$11)</f>
        <v>30.755800000000001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67996</v>
      </c>
      <c r="B882" s="8">
        <f>CHOOSE( CONTROL!$C$33, 29.651, 29.6499) * CHOOSE(CONTROL!$C$16, $D$11, 100%, $F$11)</f>
        <v>29.651</v>
      </c>
      <c r="C882" s="8">
        <f>CHOOSE( CONTROL!$C$33, 29.6561, 29.655) * CHOOSE(CONTROL!$C$16, $D$11, 100%, $F$11)</f>
        <v>29.656099999999999</v>
      </c>
      <c r="D882" s="8">
        <f>CHOOSE( CONTROL!$C$33, 29.6586, 29.6575) * CHOOSE( CONTROL!$C$16, $D$11, 100%, $F$11)</f>
        <v>29.6586</v>
      </c>
      <c r="E882" s="12">
        <f>CHOOSE( CONTROL!$C$33, 29.6571, 29.656) * CHOOSE( CONTROL!$C$16, $D$11, 100%, $F$11)</f>
        <v>29.6571</v>
      </c>
      <c r="F882" s="4">
        <f>CHOOSE( CONTROL!$C$33, 30.3111, 30.31) * CHOOSE(CONTROL!$C$16, $D$11, 100%, $F$11)</f>
        <v>30.3111</v>
      </c>
      <c r="G882" s="8">
        <f>CHOOSE( CONTROL!$C$33, 29.3255, 29.3244) * CHOOSE( CONTROL!$C$16, $D$11, 100%, $F$11)</f>
        <v>29.325500000000002</v>
      </c>
      <c r="H882" s="4">
        <f>CHOOSE( CONTROL!$C$33, 30.2028, 30.2017) * CHOOSE(CONTROL!$C$16, $D$11, 100%, $F$11)</f>
        <v>30.2028</v>
      </c>
      <c r="I882" s="8">
        <f>CHOOSE( CONTROL!$C$33, 28.9433, 28.9422) * CHOOSE(CONTROL!$C$16, $D$11, 100%, $F$11)</f>
        <v>28.943300000000001</v>
      </c>
      <c r="J882" s="4">
        <f>CHOOSE( CONTROL!$C$33, 28.7675, 28.7665) * CHOOSE(CONTROL!$C$16, $D$11, 100%, $F$11)</f>
        <v>28.767499999999998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68027</v>
      </c>
      <c r="B883" s="8">
        <f>CHOOSE( CONTROL!$C$33, 29.02, 29.0189) * CHOOSE(CONTROL!$C$16, $D$11, 100%, $F$11)</f>
        <v>29.02</v>
      </c>
      <c r="C883" s="8">
        <f>CHOOSE( CONTROL!$C$33, 29.0251, 29.024) * CHOOSE(CONTROL!$C$16, $D$11, 100%, $F$11)</f>
        <v>29.025099999999998</v>
      </c>
      <c r="D883" s="8">
        <f>CHOOSE( CONTROL!$C$33, 29.027, 29.0259) * CHOOSE( CONTROL!$C$16, $D$11, 100%, $F$11)</f>
        <v>29.027000000000001</v>
      </c>
      <c r="E883" s="12">
        <f>CHOOSE( CONTROL!$C$33, 29.0258, 29.0247) * CHOOSE( CONTROL!$C$16, $D$11, 100%, $F$11)</f>
        <v>29.0258</v>
      </c>
      <c r="F883" s="4">
        <f>CHOOSE( CONTROL!$C$33, 29.6801, 29.6791) * CHOOSE(CONTROL!$C$16, $D$11, 100%, $F$11)</f>
        <v>29.680099999999999</v>
      </c>
      <c r="G883" s="8">
        <f>CHOOSE( CONTROL!$C$33, 28.7014, 28.7003) * CHOOSE( CONTROL!$C$16, $D$11, 100%, $F$11)</f>
        <v>28.7014</v>
      </c>
      <c r="H883" s="4">
        <f>CHOOSE( CONTROL!$C$33, 29.5792, 29.5781) * CHOOSE(CONTROL!$C$16, $D$11, 100%, $F$11)</f>
        <v>29.5792</v>
      </c>
      <c r="I883" s="8">
        <f>CHOOSE( CONTROL!$C$33, 28.3285, 28.3274) * CHOOSE(CONTROL!$C$16, $D$11, 100%, $F$11)</f>
        <v>28.328499999999998</v>
      </c>
      <c r="J883" s="4">
        <f>CHOOSE( CONTROL!$C$33, 28.1552, 28.1541) * CHOOSE(CONTROL!$C$16, $D$11, 100%, $F$11)</f>
        <v>28.155200000000001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68057</v>
      </c>
      <c r="B884" s="8">
        <f>CHOOSE( CONTROL!$C$33, 29.4617, 29.4606) * CHOOSE(CONTROL!$C$16, $D$11, 100%, $F$11)</f>
        <v>29.4617</v>
      </c>
      <c r="C884" s="8">
        <f>CHOOSE( CONTROL!$C$33, 29.4662, 29.4651) * CHOOSE(CONTROL!$C$16, $D$11, 100%, $F$11)</f>
        <v>29.466200000000001</v>
      </c>
      <c r="D884" s="8">
        <f>CHOOSE( CONTROL!$C$33, 29.4906, 29.4895) * CHOOSE( CONTROL!$C$16, $D$11, 100%, $F$11)</f>
        <v>29.490600000000001</v>
      </c>
      <c r="E884" s="12">
        <f>CHOOSE( CONTROL!$C$33, 29.482, 29.4809) * CHOOSE( CONTROL!$C$16, $D$11, 100%, $F$11)</f>
        <v>29.481999999999999</v>
      </c>
      <c r="F884" s="4">
        <f>CHOOSE( CONTROL!$C$33, 30.1906, 30.1895) * CHOOSE(CONTROL!$C$16, $D$11, 100%, $F$11)</f>
        <v>30.1906</v>
      </c>
      <c r="G884" s="8">
        <f>CHOOSE( CONTROL!$C$33, 29.1468, 29.1458) * CHOOSE( CONTROL!$C$16, $D$11, 100%, $F$11)</f>
        <v>29.146799999999999</v>
      </c>
      <c r="H884" s="4">
        <f>CHOOSE( CONTROL!$C$33, 30.0837, 30.0826) * CHOOSE(CONTROL!$C$16, $D$11, 100%, $F$11)</f>
        <v>30.0837</v>
      </c>
      <c r="I884" s="8">
        <f>CHOOSE( CONTROL!$C$33, 28.7218, 28.7208) * CHOOSE(CONTROL!$C$16, $D$11, 100%, $F$11)</f>
        <v>28.721800000000002</v>
      </c>
      <c r="J884" s="4">
        <f>CHOOSE( CONTROL!$C$33, 28.5831, 28.582) * CHOOSE(CONTROL!$C$16, $D$11, 100%, $F$11)</f>
        <v>28.583100000000002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1.2509999999999999</v>
      </c>
      <c r="Q884" s="9">
        <v>19.053000000000001</v>
      </c>
      <c r="R884" s="9"/>
      <c r="S884" s="11"/>
    </row>
    <row r="885" spans="1:19" ht="15.75">
      <c r="A885" s="13">
        <v>68088</v>
      </c>
      <c r="B885" s="8">
        <f>CHOOSE( CONTROL!$C$33, 30.2484, 30.2467) * CHOOSE(CONTROL!$C$16, $D$11, 100%, $F$11)</f>
        <v>30.2484</v>
      </c>
      <c r="C885" s="8">
        <f>CHOOSE( CONTROL!$C$33, 30.2563, 30.2547) * CHOOSE(CONTROL!$C$16, $D$11, 100%, $F$11)</f>
        <v>30.2563</v>
      </c>
      <c r="D885" s="8">
        <f>CHOOSE( CONTROL!$C$33, 30.2746, 30.273) * CHOOSE( CONTROL!$C$16, $D$11, 100%, $F$11)</f>
        <v>30.2746</v>
      </c>
      <c r="E885" s="12">
        <f>CHOOSE( CONTROL!$C$33, 30.2668, 30.2651) * CHOOSE( CONTROL!$C$16, $D$11, 100%, $F$11)</f>
        <v>30.2668</v>
      </c>
      <c r="F885" s="4">
        <f>CHOOSE( CONTROL!$C$33, 30.9759, 30.9743) * CHOOSE(CONTROL!$C$16, $D$11, 100%, $F$11)</f>
        <v>30.975899999999999</v>
      </c>
      <c r="G885" s="8">
        <f>CHOOSE( CONTROL!$C$33, 29.9228, 29.9212) * CHOOSE( CONTROL!$C$16, $D$11, 100%, $F$11)</f>
        <v>29.922799999999999</v>
      </c>
      <c r="H885" s="4">
        <f>CHOOSE( CONTROL!$C$33, 30.8598, 30.8582) * CHOOSE(CONTROL!$C$16, $D$11, 100%, $F$11)</f>
        <v>30.8598</v>
      </c>
      <c r="I885" s="8">
        <f>CHOOSE( CONTROL!$C$33, 29.4837, 29.4821) * CHOOSE(CONTROL!$C$16, $D$11, 100%, $F$11)</f>
        <v>29.483699999999999</v>
      </c>
      <c r="J885" s="4">
        <f>CHOOSE( CONTROL!$C$33, 29.3452, 29.3436) * CHOOSE(CONTROL!$C$16, $D$11, 100%, $F$11)</f>
        <v>29.345199999999998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1.2927</v>
      </c>
      <c r="Q885" s="9">
        <v>19.688099999999999</v>
      </c>
      <c r="R885" s="9"/>
      <c r="S885" s="11"/>
    </row>
    <row r="886" spans="1:19" ht="15.75">
      <c r="A886" s="13">
        <v>68118</v>
      </c>
      <c r="B886" s="8">
        <f>CHOOSE( CONTROL!$C$33, 29.7623, 29.7606) * CHOOSE(CONTROL!$C$16, $D$11, 100%, $F$11)</f>
        <v>29.7623</v>
      </c>
      <c r="C886" s="8">
        <f>CHOOSE( CONTROL!$C$33, 29.7702, 29.7686) * CHOOSE(CONTROL!$C$16, $D$11, 100%, $F$11)</f>
        <v>29.770199999999999</v>
      </c>
      <c r="D886" s="8">
        <f>CHOOSE( CONTROL!$C$33, 29.7888, 29.7871) * CHOOSE( CONTROL!$C$16, $D$11, 100%, $F$11)</f>
        <v>29.788799999999998</v>
      </c>
      <c r="E886" s="12">
        <f>CHOOSE( CONTROL!$C$33, 29.7809, 29.7792) * CHOOSE( CONTROL!$C$16, $D$11, 100%, $F$11)</f>
        <v>29.780899999999999</v>
      </c>
      <c r="F886" s="4">
        <f>CHOOSE( CONTROL!$C$33, 30.4898, 30.4881) * CHOOSE(CONTROL!$C$16, $D$11, 100%, $F$11)</f>
        <v>30.489799999999999</v>
      </c>
      <c r="G886" s="8">
        <f>CHOOSE( CONTROL!$C$33, 29.4426, 29.441) * CHOOSE( CONTROL!$C$16, $D$11, 100%, $F$11)</f>
        <v>29.442599999999999</v>
      </c>
      <c r="H886" s="4">
        <f>CHOOSE( CONTROL!$C$33, 30.3794, 30.3777) * CHOOSE(CONTROL!$C$16, $D$11, 100%, $F$11)</f>
        <v>30.3794</v>
      </c>
      <c r="I886" s="8">
        <f>CHOOSE( CONTROL!$C$33, 29.0126, 29.011) * CHOOSE(CONTROL!$C$16, $D$11, 100%, $F$11)</f>
        <v>29.012599999999999</v>
      </c>
      <c r="J886" s="4">
        <f>CHOOSE( CONTROL!$C$33, 28.8734, 28.8718) * CHOOSE(CONTROL!$C$16, $D$11, 100%, $F$11)</f>
        <v>28.8734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1.2509999999999999</v>
      </c>
      <c r="Q886" s="9">
        <v>19.053000000000001</v>
      </c>
      <c r="R886" s="9"/>
      <c r="S886" s="11"/>
    </row>
    <row r="887" spans="1:19" ht="15.75">
      <c r="A887" s="13">
        <v>68149</v>
      </c>
      <c r="B887" s="8">
        <f>CHOOSE( CONTROL!$C$33, 31.0424, 31.0407) * CHOOSE(CONTROL!$C$16, $D$11, 100%, $F$11)</f>
        <v>31.042400000000001</v>
      </c>
      <c r="C887" s="8">
        <f>CHOOSE( CONTROL!$C$33, 31.0504, 31.0487) * CHOOSE(CONTROL!$C$16, $D$11, 100%, $F$11)</f>
        <v>31.0504</v>
      </c>
      <c r="D887" s="8">
        <f>CHOOSE( CONTROL!$C$33, 31.0691, 31.0675) * CHOOSE( CONTROL!$C$16, $D$11, 100%, $F$11)</f>
        <v>31.069099999999999</v>
      </c>
      <c r="E887" s="12">
        <f>CHOOSE( CONTROL!$C$33, 31.0611, 31.0595) * CHOOSE( CONTROL!$C$16, $D$11, 100%, $F$11)</f>
        <v>31.0611</v>
      </c>
      <c r="F887" s="4">
        <f>CHOOSE( CONTROL!$C$33, 31.7699, 31.7683) * CHOOSE(CONTROL!$C$16, $D$11, 100%, $F$11)</f>
        <v>31.7699</v>
      </c>
      <c r="G887" s="8">
        <f>CHOOSE( CONTROL!$C$33, 30.7079, 30.7063) * CHOOSE( CONTROL!$C$16, $D$11, 100%, $F$11)</f>
        <v>30.707899999999999</v>
      </c>
      <c r="H887" s="4">
        <f>CHOOSE( CONTROL!$C$33, 31.6445, 31.6429) * CHOOSE(CONTROL!$C$16, $D$11, 100%, $F$11)</f>
        <v>31.644500000000001</v>
      </c>
      <c r="I887" s="8">
        <f>CHOOSE( CONTROL!$C$33, 30.2564, 30.2548) * CHOOSE(CONTROL!$C$16, $D$11, 100%, $F$11)</f>
        <v>30.256399999999999</v>
      </c>
      <c r="J887" s="4">
        <f>CHOOSE( CONTROL!$C$33, 30.1158, 30.1142) * CHOOSE(CONTROL!$C$16, $D$11, 100%, $F$11)</f>
        <v>30.1158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1.2927</v>
      </c>
      <c r="Q887" s="9">
        <v>19.688099999999999</v>
      </c>
      <c r="R887" s="9"/>
      <c r="S887" s="11"/>
    </row>
    <row r="888" spans="1:19" ht="15.75">
      <c r="A888" s="13">
        <v>68180</v>
      </c>
      <c r="B888" s="8">
        <f>CHOOSE( CONTROL!$C$33, 28.6471, 28.6455) * CHOOSE(CONTROL!$C$16, $D$11, 100%, $F$11)</f>
        <v>28.647099999999998</v>
      </c>
      <c r="C888" s="8">
        <f>CHOOSE( CONTROL!$C$33, 28.6551, 28.6534) * CHOOSE(CONTROL!$C$16, $D$11, 100%, $F$11)</f>
        <v>28.655100000000001</v>
      </c>
      <c r="D888" s="8">
        <f>CHOOSE( CONTROL!$C$33, 28.674, 28.6723) * CHOOSE( CONTROL!$C$16, $D$11, 100%, $F$11)</f>
        <v>28.673999999999999</v>
      </c>
      <c r="E888" s="12">
        <f>CHOOSE( CONTROL!$C$33, 28.6659, 28.6642) * CHOOSE( CONTROL!$C$16, $D$11, 100%, $F$11)</f>
        <v>28.665900000000001</v>
      </c>
      <c r="F888" s="4">
        <f>CHOOSE( CONTROL!$C$33, 29.3747, 29.373) * CHOOSE(CONTROL!$C$16, $D$11, 100%, $F$11)</f>
        <v>29.374700000000001</v>
      </c>
      <c r="G888" s="8">
        <f>CHOOSE( CONTROL!$C$33, 28.3408, 28.3392) * CHOOSE( CONTROL!$C$16, $D$11, 100%, $F$11)</f>
        <v>28.340800000000002</v>
      </c>
      <c r="H888" s="4">
        <f>CHOOSE( CONTROL!$C$33, 29.2773, 29.2757) * CHOOSE(CONTROL!$C$16, $D$11, 100%, $F$11)</f>
        <v>29.2773</v>
      </c>
      <c r="I888" s="8">
        <f>CHOOSE( CONTROL!$C$33, 27.9309, 27.9293) * CHOOSE(CONTROL!$C$16, $D$11, 100%, $F$11)</f>
        <v>27.930900000000001</v>
      </c>
      <c r="J888" s="4">
        <f>CHOOSE( CONTROL!$C$33, 27.7912, 27.7896) * CHOOSE(CONTROL!$C$16, $D$11, 100%, $F$11)</f>
        <v>27.7912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1.2927</v>
      </c>
      <c r="Q888" s="9">
        <v>19.688099999999999</v>
      </c>
      <c r="R888" s="9"/>
      <c r="S888" s="11"/>
    </row>
    <row r="889" spans="1:19" ht="15.75">
      <c r="A889" s="13">
        <v>68210</v>
      </c>
      <c r="B889" s="8">
        <f>CHOOSE( CONTROL!$C$33, 28.0473, 28.0457) * CHOOSE(CONTROL!$C$16, $D$11, 100%, $F$11)</f>
        <v>28.0473</v>
      </c>
      <c r="C889" s="8">
        <f>CHOOSE( CONTROL!$C$33, 28.0553, 28.0536) * CHOOSE(CONTROL!$C$16, $D$11, 100%, $F$11)</f>
        <v>28.055299999999999</v>
      </c>
      <c r="D889" s="8">
        <f>CHOOSE( CONTROL!$C$33, 28.0741, 28.0724) * CHOOSE( CONTROL!$C$16, $D$11, 100%, $F$11)</f>
        <v>28.074100000000001</v>
      </c>
      <c r="E889" s="12">
        <f>CHOOSE( CONTROL!$C$33, 28.0661, 28.0644) * CHOOSE( CONTROL!$C$16, $D$11, 100%, $F$11)</f>
        <v>28.066099999999999</v>
      </c>
      <c r="F889" s="4">
        <f>CHOOSE( CONTROL!$C$33, 28.7749, 28.7732) * CHOOSE(CONTROL!$C$16, $D$11, 100%, $F$11)</f>
        <v>28.774899999999999</v>
      </c>
      <c r="G889" s="8">
        <f>CHOOSE( CONTROL!$C$33, 27.7479, 27.7463) * CHOOSE( CONTROL!$C$16, $D$11, 100%, $F$11)</f>
        <v>27.747900000000001</v>
      </c>
      <c r="H889" s="4">
        <f>CHOOSE( CONTROL!$C$33, 28.6845, 28.6829) * CHOOSE(CONTROL!$C$16, $D$11, 100%, $F$11)</f>
        <v>28.6845</v>
      </c>
      <c r="I889" s="8">
        <f>CHOOSE( CONTROL!$C$33, 27.3482, 27.3465) * CHOOSE(CONTROL!$C$16, $D$11, 100%, $F$11)</f>
        <v>27.348199999999999</v>
      </c>
      <c r="J889" s="4">
        <f>CHOOSE( CONTROL!$C$33, 27.2091, 27.2075) * CHOOSE(CONTROL!$C$16, $D$11, 100%, $F$11)</f>
        <v>27.209099999999999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1.2509999999999999</v>
      </c>
      <c r="Q889" s="9">
        <v>19.053000000000001</v>
      </c>
      <c r="R889" s="9"/>
      <c r="S889" s="11"/>
    </row>
    <row r="890" spans="1:19" ht="15.75">
      <c r="A890" s="13">
        <v>68241</v>
      </c>
      <c r="B890" s="8">
        <f>CHOOSE( CONTROL!$C$33, 29.2904, 29.2893) * CHOOSE(CONTROL!$C$16, $D$11, 100%, $F$11)</f>
        <v>29.290400000000002</v>
      </c>
      <c r="C890" s="8">
        <f>CHOOSE( CONTROL!$C$33, 29.2957, 29.2947) * CHOOSE(CONTROL!$C$16, $D$11, 100%, $F$11)</f>
        <v>29.2957</v>
      </c>
      <c r="D890" s="8">
        <f>CHOOSE( CONTROL!$C$33, 29.3202, 29.3191) * CHOOSE( CONTROL!$C$16, $D$11, 100%, $F$11)</f>
        <v>29.3202</v>
      </c>
      <c r="E890" s="12">
        <f>CHOOSE( CONTROL!$C$33, 29.3115, 29.3105) * CHOOSE( CONTROL!$C$16, $D$11, 100%, $F$11)</f>
        <v>29.311499999999999</v>
      </c>
      <c r="F890" s="4">
        <f>CHOOSE( CONTROL!$C$33, 30.0197, 30.0186) * CHOOSE(CONTROL!$C$16, $D$11, 100%, $F$11)</f>
        <v>30.0197</v>
      </c>
      <c r="G890" s="8">
        <f>CHOOSE( CONTROL!$C$33, 28.9784, 28.9773) * CHOOSE( CONTROL!$C$16, $D$11, 100%, $F$11)</f>
        <v>28.978400000000001</v>
      </c>
      <c r="H890" s="4">
        <f>CHOOSE( CONTROL!$C$33, 29.9148, 29.9137) * CHOOSE(CONTROL!$C$16, $D$11, 100%, $F$11)</f>
        <v>29.9148</v>
      </c>
      <c r="I890" s="8">
        <f>CHOOSE( CONTROL!$C$33, 28.5577, 28.5567) * CHOOSE(CONTROL!$C$16, $D$11, 100%, $F$11)</f>
        <v>28.557700000000001</v>
      </c>
      <c r="J890" s="4">
        <f>CHOOSE( CONTROL!$C$33, 28.4172, 28.4161) * CHOOSE(CONTROL!$C$16, $D$11, 100%, $F$11)</f>
        <v>28.417200000000001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1.2927</v>
      </c>
      <c r="Q890" s="9">
        <v>19.688099999999999</v>
      </c>
      <c r="R890" s="9"/>
      <c r="S890" s="11"/>
    </row>
    <row r="891" spans="1:19" ht="15.75">
      <c r="A891" s="13">
        <v>68271</v>
      </c>
      <c r="B891" s="8">
        <f>CHOOSE( CONTROL!$C$33, 31.5888, 31.5877) * CHOOSE(CONTROL!$C$16, $D$11, 100%, $F$11)</f>
        <v>31.588799999999999</v>
      </c>
      <c r="C891" s="8">
        <f>CHOOSE( CONTROL!$C$33, 31.5938, 31.5927) * CHOOSE(CONTROL!$C$16, $D$11, 100%, $F$11)</f>
        <v>31.593800000000002</v>
      </c>
      <c r="D891" s="8">
        <f>CHOOSE( CONTROL!$C$33, 31.5842, 31.5831) * CHOOSE( CONTROL!$C$16, $D$11, 100%, $F$11)</f>
        <v>31.584199999999999</v>
      </c>
      <c r="E891" s="12">
        <f>CHOOSE( CONTROL!$C$33, 31.5872, 31.5861) * CHOOSE( CONTROL!$C$16, $D$11, 100%, $F$11)</f>
        <v>31.587199999999999</v>
      </c>
      <c r="F891" s="4">
        <f>CHOOSE( CONTROL!$C$33, 32.2489, 32.2478) * CHOOSE(CONTROL!$C$16, $D$11, 100%, $F$11)</f>
        <v>32.248899999999999</v>
      </c>
      <c r="G891" s="8">
        <f>CHOOSE( CONTROL!$C$33, 31.2367, 31.2357) * CHOOSE( CONTROL!$C$16, $D$11, 100%, $F$11)</f>
        <v>31.236699999999999</v>
      </c>
      <c r="H891" s="4">
        <f>CHOOSE( CONTROL!$C$33, 32.1179, 32.1168) * CHOOSE(CONTROL!$C$16, $D$11, 100%, $F$11)</f>
        <v>32.117899999999999</v>
      </c>
      <c r="I891" s="8">
        <f>CHOOSE( CONTROL!$C$33, 30.8491, 30.8481) * CHOOSE(CONTROL!$C$16, $D$11, 100%, $F$11)</f>
        <v>30.8491</v>
      </c>
      <c r="J891" s="4">
        <f>CHOOSE( CONTROL!$C$33, 30.6481, 30.6471) * CHOOSE(CONTROL!$C$16, $D$11, 100%, $F$11)</f>
        <v>30.648099999999999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68302</v>
      </c>
      <c r="B892" s="8">
        <f>CHOOSE( CONTROL!$C$33, 31.5313, 31.5302) * CHOOSE(CONTROL!$C$16, $D$11, 100%, $F$11)</f>
        <v>31.531300000000002</v>
      </c>
      <c r="C892" s="8">
        <f>CHOOSE( CONTROL!$C$33, 31.5364, 31.5353) * CHOOSE(CONTROL!$C$16, $D$11, 100%, $F$11)</f>
        <v>31.5364</v>
      </c>
      <c r="D892" s="8">
        <f>CHOOSE( CONTROL!$C$33, 31.5282, 31.5271) * CHOOSE( CONTROL!$C$16, $D$11, 100%, $F$11)</f>
        <v>31.528199999999998</v>
      </c>
      <c r="E892" s="12">
        <f>CHOOSE( CONTROL!$C$33, 31.5307, 31.5296) * CHOOSE( CONTROL!$C$16, $D$11, 100%, $F$11)</f>
        <v>31.5307</v>
      </c>
      <c r="F892" s="4">
        <f>CHOOSE( CONTROL!$C$33, 32.1914, 32.1904) * CHOOSE(CONTROL!$C$16, $D$11, 100%, $F$11)</f>
        <v>32.191400000000002</v>
      </c>
      <c r="G892" s="8">
        <f>CHOOSE( CONTROL!$C$33, 31.181, 31.1799) * CHOOSE( CONTROL!$C$16, $D$11, 100%, $F$11)</f>
        <v>31.181000000000001</v>
      </c>
      <c r="H892" s="4">
        <f>CHOOSE( CONTROL!$C$33, 32.0611, 32.06) * CHOOSE(CONTROL!$C$16, $D$11, 100%, $F$11)</f>
        <v>32.061100000000003</v>
      </c>
      <c r="I892" s="8">
        <f>CHOOSE( CONTROL!$C$33, 30.7978, 30.7968) * CHOOSE(CONTROL!$C$16, $D$11, 100%, $F$11)</f>
        <v>30.797799999999999</v>
      </c>
      <c r="J892" s="4">
        <f>CHOOSE( CONTROL!$C$33, 30.5924, 30.5913) * CHOOSE(CONTROL!$C$16, $D$11, 100%, $F$11)</f>
        <v>30.592400000000001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68333</v>
      </c>
      <c r="B893" s="8">
        <f>CHOOSE( CONTROL!$C$33, 32.4611, 32.46) * CHOOSE(CONTROL!$C$16, $D$11, 100%, $F$11)</f>
        <v>32.461100000000002</v>
      </c>
      <c r="C893" s="8">
        <f>CHOOSE( CONTROL!$C$33, 32.4662, 32.4651) * CHOOSE(CONTROL!$C$16, $D$11, 100%, $F$11)</f>
        <v>32.466200000000001</v>
      </c>
      <c r="D893" s="8">
        <f>CHOOSE( CONTROL!$C$33, 32.4688, 32.4677) * CHOOSE( CONTROL!$C$16, $D$11, 100%, $F$11)</f>
        <v>32.468800000000002</v>
      </c>
      <c r="E893" s="12">
        <f>CHOOSE( CONTROL!$C$33, 32.4673, 32.4662) * CHOOSE( CONTROL!$C$16, $D$11, 100%, $F$11)</f>
        <v>32.467300000000002</v>
      </c>
      <c r="F893" s="4">
        <f>CHOOSE( CONTROL!$C$33, 33.1212, 33.1201) * CHOOSE(CONTROL!$C$16, $D$11, 100%, $F$11)</f>
        <v>33.121200000000002</v>
      </c>
      <c r="G893" s="8">
        <f>CHOOSE( CONTROL!$C$33, 32.1027, 32.1016) * CHOOSE( CONTROL!$C$16, $D$11, 100%, $F$11)</f>
        <v>32.102699999999999</v>
      </c>
      <c r="H893" s="4">
        <f>CHOOSE( CONTROL!$C$33, 32.98, 32.9789) * CHOOSE(CONTROL!$C$16, $D$11, 100%, $F$11)</f>
        <v>32.979999999999997</v>
      </c>
      <c r="I893" s="8">
        <f>CHOOSE( CONTROL!$C$33, 31.6721, 31.671) * CHOOSE(CONTROL!$C$16, $D$11, 100%, $F$11)</f>
        <v>31.6721</v>
      </c>
      <c r="J893" s="4">
        <f>CHOOSE( CONTROL!$C$33, 31.4947, 31.4937) * CHOOSE(CONTROL!$C$16, $D$11, 100%, $F$11)</f>
        <v>31.494700000000002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68361</v>
      </c>
      <c r="B894" s="8">
        <f>CHOOSE( CONTROL!$C$33, 30.3632, 30.3621) * CHOOSE(CONTROL!$C$16, $D$11, 100%, $F$11)</f>
        <v>30.363199999999999</v>
      </c>
      <c r="C894" s="8">
        <f>CHOOSE( CONTROL!$C$33, 30.3683, 30.3672) * CHOOSE(CONTROL!$C$16, $D$11, 100%, $F$11)</f>
        <v>30.368300000000001</v>
      </c>
      <c r="D894" s="8">
        <f>CHOOSE( CONTROL!$C$33, 30.3708, 30.3697) * CHOOSE( CONTROL!$C$16, $D$11, 100%, $F$11)</f>
        <v>30.370799999999999</v>
      </c>
      <c r="E894" s="12">
        <f>CHOOSE( CONTROL!$C$33, 30.3693, 30.3682) * CHOOSE( CONTROL!$C$16, $D$11, 100%, $F$11)</f>
        <v>30.369299999999999</v>
      </c>
      <c r="F894" s="4">
        <f>CHOOSE( CONTROL!$C$33, 31.0233, 31.0222) * CHOOSE(CONTROL!$C$16, $D$11, 100%, $F$11)</f>
        <v>31.023299999999999</v>
      </c>
      <c r="G894" s="8">
        <f>CHOOSE( CONTROL!$C$33, 30.0293, 30.0282) * CHOOSE( CONTROL!$C$16, $D$11, 100%, $F$11)</f>
        <v>30.029299999999999</v>
      </c>
      <c r="H894" s="4">
        <f>CHOOSE( CONTROL!$C$33, 30.9067, 30.9056) * CHOOSE(CONTROL!$C$16, $D$11, 100%, $F$11)</f>
        <v>30.906700000000001</v>
      </c>
      <c r="I894" s="8">
        <f>CHOOSE( CONTROL!$C$33, 29.6348, 29.6337) * CHOOSE(CONTROL!$C$16, $D$11, 100%, $F$11)</f>
        <v>29.634799999999998</v>
      </c>
      <c r="J894" s="4">
        <f>CHOOSE( CONTROL!$C$33, 29.4587, 29.4577) * CHOOSE(CONTROL!$C$16, $D$11, 100%, $F$11)</f>
        <v>29.4587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68392</v>
      </c>
      <c r="B895" s="8">
        <f>CHOOSE( CONTROL!$C$33, 29.717, 29.716) * CHOOSE(CONTROL!$C$16, $D$11, 100%, $F$11)</f>
        <v>29.716999999999999</v>
      </c>
      <c r="C895" s="8">
        <f>CHOOSE( CONTROL!$C$33, 29.7221, 29.721) * CHOOSE(CONTROL!$C$16, $D$11, 100%, $F$11)</f>
        <v>29.722100000000001</v>
      </c>
      <c r="D895" s="8">
        <f>CHOOSE( CONTROL!$C$33, 29.724, 29.7229) * CHOOSE( CONTROL!$C$16, $D$11, 100%, $F$11)</f>
        <v>29.724</v>
      </c>
      <c r="E895" s="12">
        <f>CHOOSE( CONTROL!$C$33, 29.7228, 29.7217) * CHOOSE( CONTROL!$C$16, $D$11, 100%, $F$11)</f>
        <v>29.722799999999999</v>
      </c>
      <c r="F895" s="4">
        <f>CHOOSE( CONTROL!$C$33, 30.3772, 30.3761) * CHOOSE(CONTROL!$C$16, $D$11, 100%, $F$11)</f>
        <v>30.377199999999998</v>
      </c>
      <c r="G895" s="8">
        <f>CHOOSE( CONTROL!$C$33, 29.3902, 29.3892) * CHOOSE( CONTROL!$C$16, $D$11, 100%, $F$11)</f>
        <v>29.3902</v>
      </c>
      <c r="H895" s="4">
        <f>CHOOSE( CONTROL!$C$33, 30.2681, 30.267) * CHOOSE(CONTROL!$C$16, $D$11, 100%, $F$11)</f>
        <v>30.2681</v>
      </c>
      <c r="I895" s="8">
        <f>CHOOSE( CONTROL!$C$33, 29.0053, 29.0042) * CHOOSE(CONTROL!$C$16, $D$11, 100%, $F$11)</f>
        <v>29.005299999999998</v>
      </c>
      <c r="J895" s="4">
        <f>CHOOSE( CONTROL!$C$33, 28.8316, 28.8306) * CHOOSE(CONTROL!$C$16, $D$11, 100%, $F$11)</f>
        <v>28.831600000000002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68422</v>
      </c>
      <c r="B896" s="8">
        <f>CHOOSE( CONTROL!$C$33, 30.1693, 30.1682) * CHOOSE(CONTROL!$C$16, $D$11, 100%, $F$11)</f>
        <v>30.1693</v>
      </c>
      <c r="C896" s="8">
        <f>CHOOSE( CONTROL!$C$33, 30.1738, 30.1727) * CHOOSE(CONTROL!$C$16, $D$11, 100%, $F$11)</f>
        <v>30.1738</v>
      </c>
      <c r="D896" s="8">
        <f>CHOOSE( CONTROL!$C$33, 30.1982, 30.1971) * CHOOSE( CONTROL!$C$16, $D$11, 100%, $F$11)</f>
        <v>30.1982</v>
      </c>
      <c r="E896" s="12">
        <f>CHOOSE( CONTROL!$C$33, 30.1896, 30.1885) * CHOOSE( CONTROL!$C$16, $D$11, 100%, $F$11)</f>
        <v>30.189599999999999</v>
      </c>
      <c r="F896" s="4">
        <f>CHOOSE( CONTROL!$C$33, 30.8982, 30.8972) * CHOOSE(CONTROL!$C$16, $D$11, 100%, $F$11)</f>
        <v>30.898199999999999</v>
      </c>
      <c r="G896" s="8">
        <f>CHOOSE( CONTROL!$C$33, 29.8462, 29.8451) * CHOOSE( CONTROL!$C$16, $D$11, 100%, $F$11)</f>
        <v>29.8462</v>
      </c>
      <c r="H896" s="4">
        <f>CHOOSE( CONTROL!$C$33, 30.783, 30.782) * CHOOSE(CONTROL!$C$16, $D$11, 100%, $F$11)</f>
        <v>30.783000000000001</v>
      </c>
      <c r="I896" s="8">
        <f>CHOOSE( CONTROL!$C$33, 29.4089, 29.4079) * CHOOSE(CONTROL!$C$16, $D$11, 100%, $F$11)</f>
        <v>29.408899999999999</v>
      </c>
      <c r="J896" s="4">
        <f>CHOOSE( CONTROL!$C$33, 29.2698, 29.2688) * CHOOSE(CONTROL!$C$16, $D$11, 100%, $F$11)</f>
        <v>29.2698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1.2509999999999999</v>
      </c>
      <c r="Q896" s="9">
        <v>19.053000000000001</v>
      </c>
      <c r="R896" s="9"/>
      <c r="S896" s="11"/>
    </row>
    <row r="897" spans="1:19" ht="15.75">
      <c r="A897" s="13">
        <v>68453</v>
      </c>
      <c r="B897" s="8">
        <f>CHOOSE( CONTROL!$C$33, 30.9749, 30.9732) * CHOOSE(CONTROL!$C$16, $D$11, 100%, $F$11)</f>
        <v>30.974900000000002</v>
      </c>
      <c r="C897" s="8">
        <f>CHOOSE( CONTROL!$C$33, 30.9828, 30.9812) * CHOOSE(CONTROL!$C$16, $D$11, 100%, $F$11)</f>
        <v>30.982800000000001</v>
      </c>
      <c r="D897" s="8">
        <f>CHOOSE( CONTROL!$C$33, 31.0011, 30.9995) * CHOOSE( CONTROL!$C$16, $D$11, 100%, $F$11)</f>
        <v>31.001100000000001</v>
      </c>
      <c r="E897" s="12">
        <f>CHOOSE( CONTROL!$C$33, 30.9933, 30.9916) * CHOOSE( CONTROL!$C$16, $D$11, 100%, $F$11)</f>
        <v>30.993300000000001</v>
      </c>
      <c r="F897" s="4">
        <f>CHOOSE( CONTROL!$C$33, 31.7024, 31.7007) * CHOOSE(CONTROL!$C$16, $D$11, 100%, $F$11)</f>
        <v>31.702400000000001</v>
      </c>
      <c r="G897" s="8">
        <f>CHOOSE( CONTROL!$C$33, 30.6408, 30.6392) * CHOOSE( CONTROL!$C$16, $D$11, 100%, $F$11)</f>
        <v>30.640799999999999</v>
      </c>
      <c r="H897" s="4">
        <f>CHOOSE( CONTROL!$C$33, 31.5778, 31.5761) * CHOOSE(CONTROL!$C$16, $D$11, 100%, $F$11)</f>
        <v>31.5778</v>
      </c>
      <c r="I897" s="8">
        <f>CHOOSE( CONTROL!$C$33, 30.1892, 30.1875) * CHOOSE(CONTROL!$C$16, $D$11, 100%, $F$11)</f>
        <v>30.1892</v>
      </c>
      <c r="J897" s="4">
        <f>CHOOSE( CONTROL!$C$33, 30.0503, 30.0487) * CHOOSE(CONTROL!$C$16, $D$11, 100%, $F$11)</f>
        <v>30.0503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1.2927</v>
      </c>
      <c r="Q897" s="9">
        <v>19.688099999999999</v>
      </c>
      <c r="R897" s="9"/>
      <c r="S897" s="11"/>
    </row>
    <row r="898" spans="1:19" ht="15.75">
      <c r="A898" s="13">
        <v>68483</v>
      </c>
      <c r="B898" s="8">
        <f>CHOOSE( CONTROL!$C$33, 30.4771, 30.4754) * CHOOSE(CONTROL!$C$16, $D$11, 100%, $F$11)</f>
        <v>30.4771</v>
      </c>
      <c r="C898" s="8">
        <f>CHOOSE( CONTROL!$C$33, 30.485, 30.4834) * CHOOSE(CONTROL!$C$16, $D$11, 100%, $F$11)</f>
        <v>30.484999999999999</v>
      </c>
      <c r="D898" s="8">
        <f>CHOOSE( CONTROL!$C$33, 30.5036, 30.5019) * CHOOSE( CONTROL!$C$16, $D$11, 100%, $F$11)</f>
        <v>30.503599999999999</v>
      </c>
      <c r="E898" s="12">
        <f>CHOOSE( CONTROL!$C$33, 30.4957, 30.494) * CHOOSE( CONTROL!$C$16, $D$11, 100%, $F$11)</f>
        <v>30.495699999999999</v>
      </c>
      <c r="F898" s="4">
        <f>CHOOSE( CONTROL!$C$33, 31.2046, 31.2029) * CHOOSE(CONTROL!$C$16, $D$11, 100%, $F$11)</f>
        <v>31.204599999999999</v>
      </c>
      <c r="G898" s="8">
        <f>CHOOSE( CONTROL!$C$33, 30.149, 30.1474) * CHOOSE( CONTROL!$C$16, $D$11, 100%, $F$11)</f>
        <v>30.149000000000001</v>
      </c>
      <c r="H898" s="4">
        <f>CHOOSE( CONTROL!$C$33, 31.0858, 31.0842) * CHOOSE(CONTROL!$C$16, $D$11, 100%, $F$11)</f>
        <v>31.085799999999999</v>
      </c>
      <c r="I898" s="8">
        <f>CHOOSE( CONTROL!$C$33, 29.7066, 29.705) * CHOOSE(CONTROL!$C$16, $D$11, 100%, $F$11)</f>
        <v>29.706600000000002</v>
      </c>
      <c r="J898" s="4">
        <f>CHOOSE( CONTROL!$C$33, 29.5672, 29.5656) * CHOOSE(CONTROL!$C$16, $D$11, 100%, $F$11)</f>
        <v>29.5672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1.2509999999999999</v>
      </c>
      <c r="Q898" s="9">
        <v>19.053000000000001</v>
      </c>
      <c r="R898" s="9"/>
      <c r="S898" s="11"/>
    </row>
    <row r="899" spans="1:19" ht="15.75">
      <c r="A899" s="13">
        <v>68514</v>
      </c>
      <c r="B899" s="8">
        <f>CHOOSE( CONTROL!$C$33, 31.7879, 31.7863) * CHOOSE(CONTROL!$C$16, $D$11, 100%, $F$11)</f>
        <v>31.7879</v>
      </c>
      <c r="C899" s="8">
        <f>CHOOSE( CONTROL!$C$33, 31.7959, 31.7943) * CHOOSE(CONTROL!$C$16, $D$11, 100%, $F$11)</f>
        <v>31.7959</v>
      </c>
      <c r="D899" s="8">
        <f>CHOOSE( CONTROL!$C$33, 31.8147, 31.8131) * CHOOSE( CONTROL!$C$16, $D$11, 100%, $F$11)</f>
        <v>31.814699999999998</v>
      </c>
      <c r="E899" s="12">
        <f>CHOOSE( CONTROL!$C$33, 31.8067, 31.8051) * CHOOSE( CONTROL!$C$16, $D$11, 100%, $F$11)</f>
        <v>31.806699999999999</v>
      </c>
      <c r="F899" s="4">
        <f>CHOOSE( CONTROL!$C$33, 32.5155, 32.5138) * CHOOSE(CONTROL!$C$16, $D$11, 100%, $F$11)</f>
        <v>32.515500000000003</v>
      </c>
      <c r="G899" s="8">
        <f>CHOOSE( CONTROL!$C$33, 31.4448, 31.4431) * CHOOSE( CONTROL!$C$16, $D$11, 100%, $F$11)</f>
        <v>31.444800000000001</v>
      </c>
      <c r="H899" s="4">
        <f>CHOOSE( CONTROL!$C$33, 32.3814, 32.3797) * CHOOSE(CONTROL!$C$16, $D$11, 100%, $F$11)</f>
        <v>32.381399999999999</v>
      </c>
      <c r="I899" s="8">
        <f>CHOOSE( CONTROL!$C$33, 30.9804, 30.9787) * CHOOSE(CONTROL!$C$16, $D$11, 100%, $F$11)</f>
        <v>30.980399999999999</v>
      </c>
      <c r="J899" s="4">
        <f>CHOOSE( CONTROL!$C$33, 30.8394, 30.8378) * CHOOSE(CONTROL!$C$16, $D$11, 100%, $F$11)</f>
        <v>30.839400000000001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1.2927</v>
      </c>
      <c r="Q899" s="9">
        <v>19.688099999999999</v>
      </c>
      <c r="R899" s="9"/>
      <c r="S899" s="11"/>
    </row>
    <row r="900" spans="1:19" ht="15.75">
      <c r="A900" s="13">
        <v>68545</v>
      </c>
      <c r="B900" s="8">
        <f>CHOOSE( CONTROL!$C$33, 29.3351, 29.3335) * CHOOSE(CONTROL!$C$16, $D$11, 100%, $F$11)</f>
        <v>29.335100000000001</v>
      </c>
      <c r="C900" s="8">
        <f>CHOOSE( CONTROL!$C$33, 29.3431, 29.3415) * CHOOSE(CONTROL!$C$16, $D$11, 100%, $F$11)</f>
        <v>29.3431</v>
      </c>
      <c r="D900" s="8">
        <f>CHOOSE( CONTROL!$C$33, 29.362, 29.3603) * CHOOSE( CONTROL!$C$16, $D$11, 100%, $F$11)</f>
        <v>29.361999999999998</v>
      </c>
      <c r="E900" s="12">
        <f>CHOOSE( CONTROL!$C$33, 29.3539, 29.3523) * CHOOSE( CONTROL!$C$16, $D$11, 100%, $F$11)</f>
        <v>29.353899999999999</v>
      </c>
      <c r="F900" s="4">
        <f>CHOOSE( CONTROL!$C$33, 30.0627, 30.061) * CHOOSE(CONTROL!$C$16, $D$11, 100%, $F$11)</f>
        <v>30.0627</v>
      </c>
      <c r="G900" s="8">
        <f>CHOOSE( CONTROL!$C$33, 29.0208, 29.0191) * CHOOSE( CONTROL!$C$16, $D$11, 100%, $F$11)</f>
        <v>29.020800000000001</v>
      </c>
      <c r="H900" s="4">
        <f>CHOOSE( CONTROL!$C$33, 29.9573, 29.9556) * CHOOSE(CONTROL!$C$16, $D$11, 100%, $F$11)</f>
        <v>29.9573</v>
      </c>
      <c r="I900" s="8">
        <f>CHOOSE( CONTROL!$C$33, 28.599, 28.5974) * CHOOSE(CONTROL!$C$16, $D$11, 100%, $F$11)</f>
        <v>28.599</v>
      </c>
      <c r="J900" s="4">
        <f>CHOOSE( CONTROL!$C$33, 28.4589, 28.4573) * CHOOSE(CONTROL!$C$16, $D$11, 100%, $F$11)</f>
        <v>28.4589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1.2927</v>
      </c>
      <c r="Q900" s="9">
        <v>19.688099999999999</v>
      </c>
      <c r="R900" s="9"/>
      <c r="S900" s="11"/>
    </row>
    <row r="901" spans="1:19" ht="15.75">
      <c r="A901" s="13">
        <v>68575</v>
      </c>
      <c r="B901" s="8">
        <f>CHOOSE( CONTROL!$C$33, 28.7209, 28.7193) * CHOOSE(CONTROL!$C$16, $D$11, 100%, $F$11)</f>
        <v>28.7209</v>
      </c>
      <c r="C901" s="8">
        <f>CHOOSE( CONTROL!$C$33, 28.7289, 28.7272) * CHOOSE(CONTROL!$C$16, $D$11, 100%, $F$11)</f>
        <v>28.728899999999999</v>
      </c>
      <c r="D901" s="8">
        <f>CHOOSE( CONTROL!$C$33, 28.7477, 28.746) * CHOOSE( CONTROL!$C$16, $D$11, 100%, $F$11)</f>
        <v>28.747699999999998</v>
      </c>
      <c r="E901" s="12">
        <f>CHOOSE( CONTROL!$C$33, 28.7397, 28.738) * CHOOSE( CONTROL!$C$16, $D$11, 100%, $F$11)</f>
        <v>28.739699999999999</v>
      </c>
      <c r="F901" s="4">
        <f>CHOOSE( CONTROL!$C$33, 29.4485, 29.4468) * CHOOSE(CONTROL!$C$16, $D$11, 100%, $F$11)</f>
        <v>29.448499999999999</v>
      </c>
      <c r="G901" s="8">
        <f>CHOOSE( CONTROL!$C$33, 28.4136, 28.412) * CHOOSE( CONTROL!$C$16, $D$11, 100%, $F$11)</f>
        <v>28.413599999999999</v>
      </c>
      <c r="H901" s="4">
        <f>CHOOSE( CONTROL!$C$33, 29.3502, 29.3486) * CHOOSE(CONTROL!$C$16, $D$11, 100%, $F$11)</f>
        <v>29.350200000000001</v>
      </c>
      <c r="I901" s="8">
        <f>CHOOSE( CONTROL!$C$33, 28.0022, 28.0006) * CHOOSE(CONTROL!$C$16, $D$11, 100%, $F$11)</f>
        <v>28.002199999999998</v>
      </c>
      <c r="J901" s="4">
        <f>CHOOSE( CONTROL!$C$33, 27.8628, 27.8612) * CHOOSE(CONTROL!$C$16, $D$11, 100%, $F$11)</f>
        <v>27.8628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1.2509999999999999</v>
      </c>
      <c r="Q901" s="9">
        <v>19.053000000000001</v>
      </c>
      <c r="R901" s="9"/>
      <c r="S901" s="11"/>
    </row>
    <row r="902" spans="1:19" ht="15.75">
      <c r="A902" s="13">
        <v>68606</v>
      </c>
      <c r="B902" s="8">
        <f>CHOOSE( CONTROL!$C$33, 29.9939, 29.9929) * CHOOSE(CONTROL!$C$16, $D$11, 100%, $F$11)</f>
        <v>29.9939</v>
      </c>
      <c r="C902" s="8">
        <f>CHOOSE( CONTROL!$C$33, 29.9993, 29.9982) * CHOOSE(CONTROL!$C$16, $D$11, 100%, $F$11)</f>
        <v>29.999300000000002</v>
      </c>
      <c r="D902" s="8">
        <f>CHOOSE( CONTROL!$C$33, 30.0237, 30.0226) * CHOOSE( CONTROL!$C$16, $D$11, 100%, $F$11)</f>
        <v>30.023700000000002</v>
      </c>
      <c r="E902" s="12">
        <f>CHOOSE( CONTROL!$C$33, 30.0151, 30.014) * CHOOSE( CONTROL!$C$16, $D$11, 100%, $F$11)</f>
        <v>30.0151</v>
      </c>
      <c r="F902" s="4">
        <f>CHOOSE( CONTROL!$C$33, 30.7232, 30.7221) * CHOOSE(CONTROL!$C$16, $D$11, 100%, $F$11)</f>
        <v>30.723199999999999</v>
      </c>
      <c r="G902" s="8">
        <f>CHOOSE( CONTROL!$C$33, 29.6736, 29.6726) * CHOOSE( CONTROL!$C$16, $D$11, 100%, $F$11)</f>
        <v>29.6736</v>
      </c>
      <c r="H902" s="4">
        <f>CHOOSE( CONTROL!$C$33, 30.6101, 30.609) * CHOOSE(CONTROL!$C$16, $D$11, 100%, $F$11)</f>
        <v>30.610099999999999</v>
      </c>
      <c r="I902" s="8">
        <f>CHOOSE( CONTROL!$C$33, 29.2409, 29.2398) * CHOOSE(CONTROL!$C$16, $D$11, 100%, $F$11)</f>
        <v>29.2409</v>
      </c>
      <c r="J902" s="4">
        <f>CHOOSE( CONTROL!$C$33, 29.1, 29.0989) * CHOOSE(CONTROL!$C$16, $D$11, 100%, $F$11)</f>
        <v>29.1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1.2927</v>
      </c>
      <c r="Q902" s="9">
        <v>19.688099999999999</v>
      </c>
      <c r="R902" s="9"/>
      <c r="S902" s="11"/>
    </row>
    <row r="903" spans="1:19" ht="15.75">
      <c r="A903" s="13">
        <v>68636</v>
      </c>
      <c r="B903" s="8">
        <f>CHOOSE( CONTROL!$C$33, 32.3475, 32.3464) * CHOOSE(CONTROL!$C$16, $D$11, 100%, $F$11)</f>
        <v>32.347499999999997</v>
      </c>
      <c r="C903" s="8">
        <f>CHOOSE( CONTROL!$C$33, 32.3526, 32.3515) * CHOOSE(CONTROL!$C$16, $D$11, 100%, $F$11)</f>
        <v>32.352600000000002</v>
      </c>
      <c r="D903" s="8">
        <f>CHOOSE( CONTROL!$C$33, 32.343, 32.3419) * CHOOSE( CONTROL!$C$16, $D$11, 100%, $F$11)</f>
        <v>32.343000000000004</v>
      </c>
      <c r="E903" s="12">
        <f>CHOOSE( CONTROL!$C$33, 32.346, 32.3449) * CHOOSE( CONTROL!$C$16, $D$11, 100%, $F$11)</f>
        <v>32.345999999999997</v>
      </c>
      <c r="F903" s="4">
        <f>CHOOSE( CONTROL!$C$33, 33.0076, 33.0066) * CHOOSE(CONTROL!$C$16, $D$11, 100%, $F$11)</f>
        <v>33.007599999999996</v>
      </c>
      <c r="G903" s="8">
        <f>CHOOSE( CONTROL!$C$33, 31.9866, 31.9855) * CHOOSE( CONTROL!$C$16, $D$11, 100%, $F$11)</f>
        <v>31.986599999999999</v>
      </c>
      <c r="H903" s="4">
        <f>CHOOSE( CONTROL!$C$33, 32.8677, 32.8667) * CHOOSE(CONTROL!$C$16, $D$11, 100%, $F$11)</f>
        <v>32.867699999999999</v>
      </c>
      <c r="I903" s="8">
        <f>CHOOSE( CONTROL!$C$33, 31.5859, 31.5848) * CHOOSE(CONTROL!$C$16, $D$11, 100%, $F$11)</f>
        <v>31.585899999999999</v>
      </c>
      <c r="J903" s="4">
        <f>CHOOSE( CONTROL!$C$33, 31.3845, 31.3835) * CHOOSE(CONTROL!$C$16, $D$11, 100%, $F$11)</f>
        <v>31.384499999999999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68667</v>
      </c>
      <c r="B904" s="8">
        <f>CHOOSE( CONTROL!$C$33, 32.2887, 32.2876) * CHOOSE(CONTROL!$C$16, $D$11, 100%, $F$11)</f>
        <v>32.288699999999999</v>
      </c>
      <c r="C904" s="8">
        <f>CHOOSE( CONTROL!$C$33, 32.2938, 32.2927) * CHOOSE(CONTROL!$C$16, $D$11, 100%, $F$11)</f>
        <v>32.293799999999997</v>
      </c>
      <c r="D904" s="8">
        <f>CHOOSE( CONTROL!$C$33, 32.2856, 32.2845) * CHOOSE( CONTROL!$C$16, $D$11, 100%, $F$11)</f>
        <v>32.285600000000002</v>
      </c>
      <c r="E904" s="12">
        <f>CHOOSE( CONTROL!$C$33, 32.2881, 32.287) * CHOOSE( CONTROL!$C$16, $D$11, 100%, $F$11)</f>
        <v>32.2881</v>
      </c>
      <c r="F904" s="4">
        <f>CHOOSE( CONTROL!$C$33, 32.9488, 32.9477) * CHOOSE(CONTROL!$C$16, $D$11, 100%, $F$11)</f>
        <v>32.948799999999999</v>
      </c>
      <c r="G904" s="8">
        <f>CHOOSE( CONTROL!$C$33, 31.9295, 31.9284) * CHOOSE( CONTROL!$C$16, $D$11, 100%, $F$11)</f>
        <v>31.929500000000001</v>
      </c>
      <c r="H904" s="4">
        <f>CHOOSE( CONTROL!$C$33, 32.8096, 32.8085) * CHOOSE(CONTROL!$C$16, $D$11, 100%, $F$11)</f>
        <v>32.809600000000003</v>
      </c>
      <c r="I904" s="8">
        <f>CHOOSE( CONTROL!$C$33, 31.5332, 31.5322) * CHOOSE(CONTROL!$C$16, $D$11, 100%, $F$11)</f>
        <v>31.533200000000001</v>
      </c>
      <c r="J904" s="4">
        <f>CHOOSE( CONTROL!$C$33, 31.3274, 31.3264) * CHOOSE(CONTROL!$C$16, $D$11, 100%, $F$11)</f>
        <v>31.327400000000001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68698</v>
      </c>
      <c r="B905" s="8">
        <f>CHOOSE( CONTROL!$C$33, 33.2408, 33.2397) * CHOOSE(CONTROL!$C$16, $D$11, 100%, $F$11)</f>
        <v>33.2408</v>
      </c>
      <c r="C905" s="8">
        <f>CHOOSE( CONTROL!$C$33, 33.2459, 33.2448) * CHOOSE(CONTROL!$C$16, $D$11, 100%, $F$11)</f>
        <v>33.245899999999999</v>
      </c>
      <c r="D905" s="8">
        <f>CHOOSE( CONTROL!$C$33, 33.2485, 33.2474) * CHOOSE( CONTROL!$C$16, $D$11, 100%, $F$11)</f>
        <v>33.2485</v>
      </c>
      <c r="E905" s="12">
        <f>CHOOSE( CONTROL!$C$33, 33.247, 33.2459) * CHOOSE( CONTROL!$C$16, $D$11, 100%, $F$11)</f>
        <v>33.247</v>
      </c>
      <c r="F905" s="4">
        <f>CHOOSE( CONTROL!$C$33, 33.9009, 33.8999) * CHOOSE(CONTROL!$C$16, $D$11, 100%, $F$11)</f>
        <v>33.9009</v>
      </c>
      <c r="G905" s="8">
        <f>CHOOSE( CONTROL!$C$33, 32.8733, 32.8722) * CHOOSE( CONTROL!$C$16, $D$11, 100%, $F$11)</f>
        <v>32.8733</v>
      </c>
      <c r="H905" s="4">
        <f>CHOOSE( CONTROL!$C$33, 33.7506, 33.7495) * CHOOSE(CONTROL!$C$16, $D$11, 100%, $F$11)</f>
        <v>33.750599999999999</v>
      </c>
      <c r="I905" s="8">
        <f>CHOOSE( CONTROL!$C$33, 32.4292, 32.4281) * CHOOSE(CONTROL!$C$16, $D$11, 100%, $F$11)</f>
        <v>32.429200000000002</v>
      </c>
      <c r="J905" s="4">
        <f>CHOOSE( CONTROL!$C$33, 32.2515, 32.2504) * CHOOSE(CONTROL!$C$16, $D$11, 100%, $F$11)</f>
        <v>32.2515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68727</v>
      </c>
      <c r="B906" s="8">
        <f>CHOOSE( CONTROL!$C$33, 31.0925, 31.0914) * CHOOSE(CONTROL!$C$16, $D$11, 100%, $F$11)</f>
        <v>31.092500000000001</v>
      </c>
      <c r="C906" s="8">
        <f>CHOOSE( CONTROL!$C$33, 31.0976, 31.0965) * CHOOSE(CONTROL!$C$16, $D$11, 100%, $F$11)</f>
        <v>31.0976</v>
      </c>
      <c r="D906" s="8">
        <f>CHOOSE( CONTROL!$C$33, 31.1001, 31.099) * CHOOSE( CONTROL!$C$16, $D$11, 100%, $F$11)</f>
        <v>31.100100000000001</v>
      </c>
      <c r="E906" s="12">
        <f>CHOOSE( CONTROL!$C$33, 31.0986, 31.0975) * CHOOSE( CONTROL!$C$16, $D$11, 100%, $F$11)</f>
        <v>31.098600000000001</v>
      </c>
      <c r="F906" s="4">
        <f>CHOOSE( CONTROL!$C$33, 31.7526, 31.7515) * CHOOSE(CONTROL!$C$16, $D$11, 100%, $F$11)</f>
        <v>31.752600000000001</v>
      </c>
      <c r="G906" s="8">
        <f>CHOOSE( CONTROL!$C$33, 30.7501, 30.749) * CHOOSE( CONTROL!$C$16, $D$11, 100%, $F$11)</f>
        <v>30.7501</v>
      </c>
      <c r="H906" s="4">
        <f>CHOOSE( CONTROL!$C$33, 31.6274, 31.6263) * CHOOSE(CONTROL!$C$16, $D$11, 100%, $F$11)</f>
        <v>31.627400000000002</v>
      </c>
      <c r="I906" s="8">
        <f>CHOOSE( CONTROL!$C$33, 30.3429, 30.3419) * CHOOSE(CONTROL!$C$16, $D$11, 100%, $F$11)</f>
        <v>30.3429</v>
      </c>
      <c r="J906" s="4">
        <f>CHOOSE( CONTROL!$C$33, 30.1665, 30.1655) * CHOOSE(CONTROL!$C$16, $D$11, 100%, $F$11)</f>
        <v>30.166499999999999</v>
      </c>
      <c r="K906" s="4"/>
      <c r="L906" s="9">
        <v>27.415299999999998</v>
      </c>
      <c r="M906" s="9">
        <v>11.285299999999999</v>
      </c>
      <c r="N906" s="9">
        <v>4.6254999999999997</v>
      </c>
      <c r="O906" s="9">
        <v>0.34989999999999999</v>
      </c>
      <c r="P906" s="9">
        <v>1.2093</v>
      </c>
      <c r="Q906" s="9">
        <v>18.417899999999999</v>
      </c>
      <c r="R906" s="9"/>
      <c r="S906" s="11"/>
    </row>
    <row r="907" spans="1:19" ht="15.75">
      <c r="A907" s="13">
        <v>68758</v>
      </c>
      <c r="B907" s="8">
        <f>CHOOSE( CONTROL!$C$33, 30.4308, 30.4297) * CHOOSE(CONTROL!$C$16, $D$11, 100%, $F$11)</f>
        <v>30.430800000000001</v>
      </c>
      <c r="C907" s="8">
        <f>CHOOSE( CONTROL!$C$33, 30.4359, 30.4348) * CHOOSE(CONTROL!$C$16, $D$11, 100%, $F$11)</f>
        <v>30.4359</v>
      </c>
      <c r="D907" s="8">
        <f>CHOOSE( CONTROL!$C$33, 30.4378, 30.4367) * CHOOSE( CONTROL!$C$16, $D$11, 100%, $F$11)</f>
        <v>30.437799999999999</v>
      </c>
      <c r="E907" s="12">
        <f>CHOOSE( CONTROL!$C$33, 30.4366, 30.4355) * CHOOSE( CONTROL!$C$16, $D$11, 100%, $F$11)</f>
        <v>30.436599999999999</v>
      </c>
      <c r="F907" s="4">
        <f>CHOOSE( CONTROL!$C$33, 31.091, 31.0899) * CHOOSE(CONTROL!$C$16, $D$11, 100%, $F$11)</f>
        <v>31.091000000000001</v>
      </c>
      <c r="G907" s="8">
        <f>CHOOSE( CONTROL!$C$33, 30.0957, 30.0946) * CHOOSE( CONTROL!$C$16, $D$11, 100%, $F$11)</f>
        <v>30.095700000000001</v>
      </c>
      <c r="H907" s="4">
        <f>CHOOSE( CONTROL!$C$33, 30.9735, 30.9724) * CHOOSE(CONTROL!$C$16, $D$11, 100%, $F$11)</f>
        <v>30.973500000000001</v>
      </c>
      <c r="I907" s="8">
        <f>CHOOSE( CONTROL!$C$33, 29.6983, 29.6973) * CHOOSE(CONTROL!$C$16, $D$11, 100%, $F$11)</f>
        <v>29.6983</v>
      </c>
      <c r="J907" s="4">
        <f>CHOOSE( CONTROL!$C$33, 29.5244, 29.5233) * CHOOSE(CONTROL!$C$16, $D$11, 100%, $F$11)</f>
        <v>29.5244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68788</v>
      </c>
      <c r="B908" s="8">
        <f>CHOOSE( CONTROL!$C$33, 30.894, 30.8929) * CHOOSE(CONTROL!$C$16, $D$11, 100%, $F$11)</f>
        <v>30.893999999999998</v>
      </c>
      <c r="C908" s="8">
        <f>CHOOSE( CONTROL!$C$33, 30.8985, 30.8974) * CHOOSE(CONTROL!$C$16, $D$11, 100%, $F$11)</f>
        <v>30.898499999999999</v>
      </c>
      <c r="D908" s="8">
        <f>CHOOSE( CONTROL!$C$33, 30.9228, 30.9217) * CHOOSE( CONTROL!$C$16, $D$11, 100%, $F$11)</f>
        <v>30.922799999999999</v>
      </c>
      <c r="E908" s="12">
        <f>CHOOSE( CONTROL!$C$33, 30.9143, 30.9132) * CHOOSE( CONTROL!$C$16, $D$11, 100%, $F$11)</f>
        <v>30.914300000000001</v>
      </c>
      <c r="F908" s="4">
        <f>CHOOSE( CONTROL!$C$33, 31.6229, 31.6218) * CHOOSE(CONTROL!$C$16, $D$11, 100%, $F$11)</f>
        <v>31.622900000000001</v>
      </c>
      <c r="G908" s="8">
        <f>CHOOSE( CONTROL!$C$33, 30.5623, 30.5613) * CHOOSE( CONTROL!$C$16, $D$11, 100%, $F$11)</f>
        <v>30.5623</v>
      </c>
      <c r="H908" s="4">
        <f>CHOOSE( CONTROL!$C$33, 31.4992, 31.4981) * CHOOSE(CONTROL!$C$16, $D$11, 100%, $F$11)</f>
        <v>31.499199999999998</v>
      </c>
      <c r="I908" s="8">
        <f>CHOOSE( CONTROL!$C$33, 30.1125, 30.1115) * CHOOSE(CONTROL!$C$16, $D$11, 100%, $F$11)</f>
        <v>30.112500000000001</v>
      </c>
      <c r="J908" s="4">
        <f>CHOOSE( CONTROL!$C$33, 29.9731, 29.972) * CHOOSE(CONTROL!$C$16, $D$11, 100%, $F$11)</f>
        <v>29.973099999999999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1.2509999999999999</v>
      </c>
      <c r="Q908" s="9">
        <v>19.053000000000001</v>
      </c>
      <c r="R908" s="9"/>
      <c r="S908" s="11"/>
    </row>
    <row r="909" spans="1:19" ht="15.75">
      <c r="A909" s="13">
        <v>68819</v>
      </c>
      <c r="B909" s="8">
        <f>CHOOSE( CONTROL!$C$33, 31.7188, 31.7171) * CHOOSE(CONTROL!$C$16, $D$11, 100%, $F$11)</f>
        <v>31.718800000000002</v>
      </c>
      <c r="C909" s="8">
        <f>CHOOSE( CONTROL!$C$33, 31.7268, 31.7251) * CHOOSE(CONTROL!$C$16, $D$11, 100%, $F$11)</f>
        <v>31.726800000000001</v>
      </c>
      <c r="D909" s="8">
        <f>CHOOSE( CONTROL!$C$33, 31.7451, 31.7434) * CHOOSE( CONTROL!$C$16, $D$11, 100%, $F$11)</f>
        <v>31.745100000000001</v>
      </c>
      <c r="E909" s="12">
        <f>CHOOSE( CONTROL!$C$33, 31.7372, 31.7355) * CHOOSE( CONTROL!$C$16, $D$11, 100%, $F$11)</f>
        <v>31.737200000000001</v>
      </c>
      <c r="F909" s="4">
        <f>CHOOSE( CONTROL!$C$33, 32.4463, 32.4447) * CHOOSE(CONTROL!$C$16, $D$11, 100%, $F$11)</f>
        <v>32.446300000000001</v>
      </c>
      <c r="G909" s="8">
        <f>CHOOSE( CONTROL!$C$33, 31.376, 31.3744) * CHOOSE( CONTROL!$C$16, $D$11, 100%, $F$11)</f>
        <v>31.376000000000001</v>
      </c>
      <c r="H909" s="4">
        <f>CHOOSE( CONTROL!$C$33, 32.313, 32.3114) * CHOOSE(CONTROL!$C$16, $D$11, 100%, $F$11)</f>
        <v>32.313000000000002</v>
      </c>
      <c r="I909" s="8">
        <f>CHOOSE( CONTROL!$C$33, 30.9115, 30.9099) * CHOOSE(CONTROL!$C$16, $D$11, 100%, $F$11)</f>
        <v>30.9115</v>
      </c>
      <c r="J909" s="4">
        <f>CHOOSE( CONTROL!$C$33, 30.7723, 30.7707) * CHOOSE(CONTROL!$C$16, $D$11, 100%, $F$11)</f>
        <v>30.772300000000001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1.2927</v>
      </c>
      <c r="Q909" s="9">
        <v>19.688099999999999</v>
      </c>
      <c r="R909" s="9"/>
      <c r="S909" s="11"/>
    </row>
    <row r="910" spans="1:19" ht="15.75">
      <c r="A910" s="13">
        <v>68849</v>
      </c>
      <c r="B910" s="8">
        <f>CHOOSE( CONTROL!$C$33, 31.209, 31.2074) * CHOOSE(CONTROL!$C$16, $D$11, 100%, $F$11)</f>
        <v>31.209</v>
      </c>
      <c r="C910" s="8">
        <f>CHOOSE( CONTROL!$C$33, 31.217, 31.2154) * CHOOSE(CONTROL!$C$16, $D$11, 100%, $F$11)</f>
        <v>31.216999999999999</v>
      </c>
      <c r="D910" s="8">
        <f>CHOOSE( CONTROL!$C$33, 31.2356, 31.2339) * CHOOSE( CONTROL!$C$16, $D$11, 100%, $F$11)</f>
        <v>31.235600000000002</v>
      </c>
      <c r="E910" s="12">
        <f>CHOOSE( CONTROL!$C$33, 31.2276, 31.226) * CHOOSE( CONTROL!$C$16, $D$11, 100%, $F$11)</f>
        <v>31.227599999999999</v>
      </c>
      <c r="F910" s="4">
        <f>CHOOSE( CONTROL!$C$33, 31.9366, 31.9349) * CHOOSE(CONTROL!$C$16, $D$11, 100%, $F$11)</f>
        <v>31.936599999999999</v>
      </c>
      <c r="G910" s="8">
        <f>CHOOSE( CONTROL!$C$33, 30.8725, 30.8708) * CHOOSE( CONTROL!$C$16, $D$11, 100%, $F$11)</f>
        <v>30.872499999999999</v>
      </c>
      <c r="H910" s="4">
        <f>CHOOSE( CONTROL!$C$33, 31.8092, 31.8076) * CHOOSE(CONTROL!$C$16, $D$11, 100%, $F$11)</f>
        <v>31.809200000000001</v>
      </c>
      <c r="I910" s="8">
        <f>CHOOSE( CONTROL!$C$33, 30.4174, 30.4158) * CHOOSE(CONTROL!$C$16, $D$11, 100%, $F$11)</f>
        <v>30.417400000000001</v>
      </c>
      <c r="J910" s="4">
        <f>CHOOSE( CONTROL!$C$33, 30.2775, 30.2759) * CHOOSE(CONTROL!$C$16, $D$11, 100%, $F$11)</f>
        <v>30.2775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1.2509999999999999</v>
      </c>
      <c r="Q910" s="9">
        <v>19.053000000000001</v>
      </c>
      <c r="R910" s="9"/>
      <c r="S910" s="11"/>
    </row>
    <row r="911" spans="1:19" ht="15.75">
      <c r="A911" s="13">
        <v>68880</v>
      </c>
      <c r="B911" s="8">
        <f>CHOOSE( CONTROL!$C$33, 32.5514, 32.5498) * CHOOSE(CONTROL!$C$16, $D$11, 100%, $F$11)</f>
        <v>32.551400000000001</v>
      </c>
      <c r="C911" s="8">
        <f>CHOOSE( CONTROL!$C$33, 32.5594, 32.5577) * CHOOSE(CONTROL!$C$16, $D$11, 100%, $F$11)</f>
        <v>32.559399999999997</v>
      </c>
      <c r="D911" s="8">
        <f>CHOOSE( CONTROL!$C$33, 32.5782, 32.5765) * CHOOSE( CONTROL!$C$16, $D$11, 100%, $F$11)</f>
        <v>32.578200000000002</v>
      </c>
      <c r="E911" s="12">
        <f>CHOOSE( CONTROL!$C$33, 32.5702, 32.5685) * CHOOSE( CONTROL!$C$16, $D$11, 100%, $F$11)</f>
        <v>32.5702</v>
      </c>
      <c r="F911" s="4">
        <f>CHOOSE( CONTROL!$C$33, 33.279, 33.2773) * CHOOSE(CONTROL!$C$16, $D$11, 100%, $F$11)</f>
        <v>33.279000000000003</v>
      </c>
      <c r="G911" s="8">
        <f>CHOOSE( CONTROL!$C$33, 32.1993, 32.1977) * CHOOSE( CONTROL!$C$16, $D$11, 100%, $F$11)</f>
        <v>32.199300000000001</v>
      </c>
      <c r="H911" s="4">
        <f>CHOOSE( CONTROL!$C$33, 33.1359, 33.1342) * CHOOSE(CONTROL!$C$16, $D$11, 100%, $F$11)</f>
        <v>33.135899999999999</v>
      </c>
      <c r="I911" s="8">
        <f>CHOOSE( CONTROL!$C$33, 31.7217, 31.7201) * CHOOSE(CONTROL!$C$16, $D$11, 100%, $F$11)</f>
        <v>31.721699999999998</v>
      </c>
      <c r="J911" s="4">
        <f>CHOOSE( CONTROL!$C$33, 31.5803, 31.5787) * CHOOSE(CONTROL!$C$16, $D$11, 100%, $F$11)</f>
        <v>31.580300000000001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1.2927</v>
      </c>
      <c r="Q911" s="9">
        <v>19.688099999999999</v>
      </c>
      <c r="R911" s="9"/>
      <c r="S911" s="11"/>
    </row>
    <row r="912" spans="1:19" ht="15.75">
      <c r="A912" s="13">
        <v>68911</v>
      </c>
      <c r="B912" s="8">
        <f>CHOOSE( CONTROL!$C$33, 30.0397, 30.038) * CHOOSE(CONTROL!$C$16, $D$11, 100%, $F$11)</f>
        <v>30.0397</v>
      </c>
      <c r="C912" s="8">
        <f>CHOOSE( CONTROL!$C$33, 30.0476, 30.046) * CHOOSE(CONTROL!$C$16, $D$11, 100%, $F$11)</f>
        <v>30.047599999999999</v>
      </c>
      <c r="D912" s="8">
        <f>CHOOSE( CONTROL!$C$33, 30.0665, 30.0649) * CHOOSE( CONTROL!$C$16, $D$11, 100%, $F$11)</f>
        <v>30.066500000000001</v>
      </c>
      <c r="E912" s="12">
        <f>CHOOSE( CONTROL!$C$33, 30.0584, 30.0568) * CHOOSE( CONTROL!$C$16, $D$11, 100%, $F$11)</f>
        <v>30.058399999999999</v>
      </c>
      <c r="F912" s="4">
        <f>CHOOSE( CONTROL!$C$33, 30.7672, 30.7656) * CHOOSE(CONTROL!$C$16, $D$11, 100%, $F$11)</f>
        <v>30.767199999999999</v>
      </c>
      <c r="G912" s="8">
        <f>CHOOSE( CONTROL!$C$33, 29.717, 29.7154) * CHOOSE( CONTROL!$C$16, $D$11, 100%, $F$11)</f>
        <v>29.716999999999999</v>
      </c>
      <c r="H912" s="4">
        <f>CHOOSE( CONTROL!$C$33, 30.6536, 30.6519) * CHOOSE(CONTROL!$C$16, $D$11, 100%, $F$11)</f>
        <v>30.653600000000001</v>
      </c>
      <c r="I912" s="8">
        <f>CHOOSE( CONTROL!$C$33, 29.2831, 29.2815) * CHOOSE(CONTROL!$C$16, $D$11, 100%, $F$11)</f>
        <v>29.283100000000001</v>
      </c>
      <c r="J912" s="4">
        <f>CHOOSE( CONTROL!$C$33, 29.1427, 29.1411) * CHOOSE(CONTROL!$C$16, $D$11, 100%, $F$11)</f>
        <v>29.142700000000001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1.2927</v>
      </c>
      <c r="Q912" s="9">
        <v>19.688099999999999</v>
      </c>
      <c r="R912" s="9"/>
      <c r="S912" s="11"/>
    </row>
    <row r="913" spans="1:19" ht="15.75">
      <c r="A913" s="13">
        <v>68941</v>
      </c>
      <c r="B913" s="8">
        <f>CHOOSE( CONTROL!$C$33, 29.4107, 29.409) * CHOOSE(CONTROL!$C$16, $D$11, 100%, $F$11)</f>
        <v>29.410699999999999</v>
      </c>
      <c r="C913" s="8">
        <f>CHOOSE( CONTROL!$C$33, 29.4187, 29.417) * CHOOSE(CONTROL!$C$16, $D$11, 100%, $F$11)</f>
        <v>29.418700000000001</v>
      </c>
      <c r="D913" s="8">
        <f>CHOOSE( CONTROL!$C$33, 29.4374, 29.4358) * CHOOSE( CONTROL!$C$16, $D$11, 100%, $F$11)</f>
        <v>29.4374</v>
      </c>
      <c r="E913" s="12">
        <f>CHOOSE( CONTROL!$C$33, 29.4294, 29.4278) * CHOOSE( CONTROL!$C$16, $D$11, 100%, $F$11)</f>
        <v>29.429400000000001</v>
      </c>
      <c r="F913" s="4">
        <f>CHOOSE( CONTROL!$C$33, 30.1383, 30.1366) * CHOOSE(CONTROL!$C$16, $D$11, 100%, $F$11)</f>
        <v>30.138300000000001</v>
      </c>
      <c r="G913" s="8">
        <f>CHOOSE( CONTROL!$C$33, 29.0954, 29.0937) * CHOOSE( CONTROL!$C$16, $D$11, 100%, $F$11)</f>
        <v>29.095400000000001</v>
      </c>
      <c r="H913" s="4">
        <f>CHOOSE( CONTROL!$C$33, 30.032, 30.0303) * CHOOSE(CONTROL!$C$16, $D$11, 100%, $F$11)</f>
        <v>30.032</v>
      </c>
      <c r="I913" s="8">
        <f>CHOOSE( CONTROL!$C$33, 28.672, 28.6704) * CHOOSE(CONTROL!$C$16, $D$11, 100%, $F$11)</f>
        <v>28.672000000000001</v>
      </c>
      <c r="J913" s="4">
        <f>CHOOSE( CONTROL!$C$33, 28.5323, 28.5307) * CHOOSE(CONTROL!$C$16, $D$11, 100%, $F$11)</f>
        <v>28.532299999999999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1.2509999999999999</v>
      </c>
      <c r="Q913" s="9">
        <v>19.053000000000001</v>
      </c>
      <c r="R913" s="9"/>
      <c r="S913" s="11"/>
    </row>
    <row r="914" spans="1:19" ht="15.75">
      <c r="A914" s="13">
        <v>68972</v>
      </c>
      <c r="B914" s="8">
        <f>CHOOSE( CONTROL!$C$33, 30.7144, 30.7133) * CHOOSE(CONTROL!$C$16, $D$11, 100%, $F$11)</f>
        <v>30.714400000000001</v>
      </c>
      <c r="C914" s="8">
        <f>CHOOSE( CONTROL!$C$33, 30.7197, 30.7186) * CHOOSE(CONTROL!$C$16, $D$11, 100%, $F$11)</f>
        <v>30.7197</v>
      </c>
      <c r="D914" s="8">
        <f>CHOOSE( CONTROL!$C$33, 30.7441, 30.743) * CHOOSE( CONTROL!$C$16, $D$11, 100%, $F$11)</f>
        <v>30.7441</v>
      </c>
      <c r="E914" s="12">
        <f>CHOOSE( CONTROL!$C$33, 30.7355, 30.7344) * CHOOSE( CONTROL!$C$16, $D$11, 100%, $F$11)</f>
        <v>30.735499999999998</v>
      </c>
      <c r="F914" s="4">
        <f>CHOOSE( CONTROL!$C$33, 31.4436, 31.4426) * CHOOSE(CONTROL!$C$16, $D$11, 100%, $F$11)</f>
        <v>31.4436</v>
      </c>
      <c r="G914" s="8">
        <f>CHOOSE( CONTROL!$C$33, 30.3856, 30.3846) * CHOOSE( CONTROL!$C$16, $D$11, 100%, $F$11)</f>
        <v>30.3856</v>
      </c>
      <c r="H914" s="4">
        <f>CHOOSE( CONTROL!$C$33, 31.322, 31.321) * CHOOSE(CONTROL!$C$16, $D$11, 100%, $F$11)</f>
        <v>31.321999999999999</v>
      </c>
      <c r="I914" s="8">
        <f>CHOOSE( CONTROL!$C$33, 29.9404, 29.9393) * CHOOSE(CONTROL!$C$16, $D$11, 100%, $F$11)</f>
        <v>29.9404</v>
      </c>
      <c r="J914" s="4">
        <f>CHOOSE( CONTROL!$C$33, 29.7991, 29.7981) * CHOOSE(CONTROL!$C$16, $D$11, 100%, $F$11)</f>
        <v>29.799099999999999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1.2927</v>
      </c>
      <c r="Q914" s="9">
        <v>19.688099999999999</v>
      </c>
      <c r="R914" s="9"/>
      <c r="S914" s="11"/>
    </row>
    <row r="915" spans="1:19" ht="15.75">
      <c r="A915" s="13">
        <v>69002</v>
      </c>
      <c r="B915" s="8">
        <f>CHOOSE( CONTROL!$C$33, 33.1245, 33.1234) * CHOOSE(CONTROL!$C$16, $D$11, 100%, $F$11)</f>
        <v>33.124499999999998</v>
      </c>
      <c r="C915" s="8">
        <f>CHOOSE( CONTROL!$C$33, 33.1296, 33.1285) * CHOOSE(CONTROL!$C$16, $D$11, 100%, $F$11)</f>
        <v>33.129600000000003</v>
      </c>
      <c r="D915" s="8">
        <f>CHOOSE( CONTROL!$C$33, 33.12, 33.1189) * CHOOSE( CONTROL!$C$16, $D$11, 100%, $F$11)</f>
        <v>33.119999999999997</v>
      </c>
      <c r="E915" s="12">
        <f>CHOOSE( CONTROL!$C$33, 33.123, 33.1219) * CHOOSE( CONTROL!$C$16, $D$11, 100%, $F$11)</f>
        <v>33.122999999999998</v>
      </c>
      <c r="F915" s="4">
        <f>CHOOSE( CONTROL!$C$33, 33.7846, 33.7835) * CHOOSE(CONTROL!$C$16, $D$11, 100%, $F$11)</f>
        <v>33.784599999999998</v>
      </c>
      <c r="G915" s="8">
        <f>CHOOSE( CONTROL!$C$33, 32.7545, 32.7534) * CHOOSE( CONTROL!$C$16, $D$11, 100%, $F$11)</f>
        <v>32.7545</v>
      </c>
      <c r="H915" s="4">
        <f>CHOOSE( CONTROL!$C$33, 33.6356, 33.6345) * CHOOSE(CONTROL!$C$16, $D$11, 100%, $F$11)</f>
        <v>33.635599999999997</v>
      </c>
      <c r="I915" s="8">
        <f>CHOOSE( CONTROL!$C$33, 32.3403, 32.3393) * CHOOSE(CONTROL!$C$16, $D$11, 100%, $F$11)</f>
        <v>32.340299999999999</v>
      </c>
      <c r="J915" s="4">
        <f>CHOOSE( CONTROL!$C$33, 32.1386, 32.1375) * CHOOSE(CONTROL!$C$16, $D$11, 100%, $F$11)</f>
        <v>32.138599999999997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69033</v>
      </c>
      <c r="B916" s="8">
        <f>CHOOSE( CONTROL!$C$33, 33.0643, 33.0632) * CHOOSE(CONTROL!$C$16, $D$11, 100%, $F$11)</f>
        <v>33.064300000000003</v>
      </c>
      <c r="C916" s="8">
        <f>CHOOSE( CONTROL!$C$33, 33.0693, 33.0683) * CHOOSE(CONTROL!$C$16, $D$11, 100%, $F$11)</f>
        <v>33.069299999999998</v>
      </c>
      <c r="D916" s="8">
        <f>CHOOSE( CONTROL!$C$33, 33.0612, 33.0601) * CHOOSE( CONTROL!$C$16, $D$11, 100%, $F$11)</f>
        <v>33.061199999999999</v>
      </c>
      <c r="E916" s="12">
        <f>CHOOSE( CONTROL!$C$33, 33.0636, 33.0626) * CHOOSE( CONTROL!$C$16, $D$11, 100%, $F$11)</f>
        <v>33.063600000000001</v>
      </c>
      <c r="F916" s="4">
        <f>CHOOSE( CONTROL!$C$33, 33.7244, 33.7233) * CHOOSE(CONTROL!$C$16, $D$11, 100%, $F$11)</f>
        <v>33.724400000000003</v>
      </c>
      <c r="G916" s="8">
        <f>CHOOSE( CONTROL!$C$33, 32.696, 32.6949) * CHOOSE( CONTROL!$C$16, $D$11, 100%, $F$11)</f>
        <v>32.695999999999998</v>
      </c>
      <c r="H916" s="4">
        <f>CHOOSE( CONTROL!$C$33, 33.5761, 33.575) * CHOOSE(CONTROL!$C$16, $D$11, 100%, $F$11)</f>
        <v>33.576099999999997</v>
      </c>
      <c r="I916" s="8">
        <f>CHOOSE( CONTROL!$C$33, 32.2863, 32.2852) * CHOOSE(CONTROL!$C$16, $D$11, 100%, $F$11)</f>
        <v>32.286299999999997</v>
      </c>
      <c r="J916" s="4">
        <f>CHOOSE( CONTROL!$C$33, 32.0801, 32.0791) * CHOOSE(CONTROL!$C$16, $D$11, 100%, $F$11)</f>
        <v>32.080100000000002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69064</v>
      </c>
      <c r="B917" s="8">
        <f>CHOOSE( CONTROL!$C$33, 34.0393, 34.0382) * CHOOSE(CONTROL!$C$16, $D$11, 100%, $F$11)</f>
        <v>34.039299999999997</v>
      </c>
      <c r="C917" s="8">
        <f>CHOOSE( CONTROL!$C$33, 34.0443, 34.0432) * CHOOSE(CONTROL!$C$16, $D$11, 100%, $F$11)</f>
        <v>34.0443</v>
      </c>
      <c r="D917" s="8">
        <f>CHOOSE( CONTROL!$C$33, 34.047, 34.0459) * CHOOSE( CONTROL!$C$16, $D$11, 100%, $F$11)</f>
        <v>34.046999999999997</v>
      </c>
      <c r="E917" s="12">
        <f>CHOOSE( CONTROL!$C$33, 34.0455, 34.0444) * CHOOSE( CONTROL!$C$16, $D$11, 100%, $F$11)</f>
        <v>34.045499999999997</v>
      </c>
      <c r="F917" s="4">
        <f>CHOOSE( CONTROL!$C$33, 34.6994, 34.6983) * CHOOSE(CONTROL!$C$16, $D$11, 100%, $F$11)</f>
        <v>34.699399999999997</v>
      </c>
      <c r="G917" s="8">
        <f>CHOOSE( CONTROL!$C$33, 33.6624, 33.6613) * CHOOSE( CONTROL!$C$16, $D$11, 100%, $F$11)</f>
        <v>33.662399999999998</v>
      </c>
      <c r="H917" s="4">
        <f>CHOOSE( CONTROL!$C$33, 34.5397, 34.5386) * CHOOSE(CONTROL!$C$16, $D$11, 100%, $F$11)</f>
        <v>34.539700000000003</v>
      </c>
      <c r="I917" s="8">
        <f>CHOOSE( CONTROL!$C$33, 33.2045, 33.2034) * CHOOSE(CONTROL!$C$16, $D$11, 100%, $F$11)</f>
        <v>33.204500000000003</v>
      </c>
      <c r="J917" s="4">
        <f>CHOOSE( CONTROL!$C$33, 33.0263, 33.0253) * CHOOSE(CONTROL!$C$16, $D$11, 100%, $F$11)</f>
        <v>33.026299999999999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69092</v>
      </c>
      <c r="B918" s="8">
        <f>CHOOSE( CONTROL!$C$33, 31.8393, 31.8382) * CHOOSE(CONTROL!$C$16, $D$11, 100%, $F$11)</f>
        <v>31.839300000000001</v>
      </c>
      <c r="C918" s="8">
        <f>CHOOSE( CONTROL!$C$33, 31.8444, 31.8433) * CHOOSE(CONTROL!$C$16, $D$11, 100%, $F$11)</f>
        <v>31.8444</v>
      </c>
      <c r="D918" s="8">
        <f>CHOOSE( CONTROL!$C$33, 31.847, 31.8459) * CHOOSE( CONTROL!$C$16, $D$11, 100%, $F$11)</f>
        <v>31.847000000000001</v>
      </c>
      <c r="E918" s="12">
        <f>CHOOSE( CONTROL!$C$33, 31.8455, 31.8444) * CHOOSE( CONTROL!$C$16, $D$11, 100%, $F$11)</f>
        <v>31.845500000000001</v>
      </c>
      <c r="F918" s="4">
        <f>CHOOSE( CONTROL!$C$33, 32.4995, 32.4984) * CHOOSE(CONTROL!$C$16, $D$11, 100%, $F$11)</f>
        <v>32.499499999999998</v>
      </c>
      <c r="G918" s="8">
        <f>CHOOSE( CONTROL!$C$33, 31.4882, 31.4871) * CHOOSE( CONTROL!$C$16, $D$11, 100%, $F$11)</f>
        <v>31.488199999999999</v>
      </c>
      <c r="H918" s="4">
        <f>CHOOSE( CONTROL!$C$33, 32.3655, 32.3644) * CHOOSE(CONTROL!$C$16, $D$11, 100%, $F$11)</f>
        <v>32.365499999999997</v>
      </c>
      <c r="I918" s="8">
        <f>CHOOSE( CONTROL!$C$33, 31.0681, 31.0671) * CHOOSE(CONTROL!$C$16, $D$11, 100%, $F$11)</f>
        <v>31.068100000000001</v>
      </c>
      <c r="J918" s="4">
        <f>CHOOSE( CONTROL!$C$33, 30.8913, 30.8903) * CHOOSE(CONTROL!$C$16, $D$11, 100%, $F$11)</f>
        <v>30.891300000000001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69123</v>
      </c>
      <c r="B919" s="8">
        <f>CHOOSE( CONTROL!$C$33, 31.1618, 31.1607) * CHOOSE(CONTROL!$C$16, $D$11, 100%, $F$11)</f>
        <v>31.161799999999999</v>
      </c>
      <c r="C919" s="8">
        <f>CHOOSE( CONTROL!$C$33, 31.1668, 31.1658) * CHOOSE(CONTROL!$C$16, $D$11, 100%, $F$11)</f>
        <v>31.166799999999999</v>
      </c>
      <c r="D919" s="8">
        <f>CHOOSE( CONTROL!$C$33, 31.1687, 31.1676) * CHOOSE( CONTROL!$C$16, $D$11, 100%, $F$11)</f>
        <v>31.168700000000001</v>
      </c>
      <c r="E919" s="12">
        <f>CHOOSE( CONTROL!$C$33, 31.1675, 31.1664) * CHOOSE( CONTROL!$C$16, $D$11, 100%, $F$11)</f>
        <v>31.1675</v>
      </c>
      <c r="F919" s="4">
        <f>CHOOSE( CONTROL!$C$33, 31.8219, 31.8208) * CHOOSE(CONTROL!$C$16, $D$11, 100%, $F$11)</f>
        <v>31.821899999999999</v>
      </c>
      <c r="G919" s="8">
        <f>CHOOSE( CONTROL!$C$33, 30.818, 30.817) * CHOOSE( CONTROL!$C$16, $D$11, 100%, $F$11)</f>
        <v>30.818000000000001</v>
      </c>
      <c r="H919" s="4">
        <f>CHOOSE( CONTROL!$C$33, 31.6959, 31.6948) * CHOOSE(CONTROL!$C$16, $D$11, 100%, $F$11)</f>
        <v>31.695900000000002</v>
      </c>
      <c r="I919" s="8">
        <f>CHOOSE( CONTROL!$C$33, 30.4081, 30.407) * CHOOSE(CONTROL!$C$16, $D$11, 100%, $F$11)</f>
        <v>30.408100000000001</v>
      </c>
      <c r="J919" s="4">
        <f>CHOOSE( CONTROL!$C$33, 30.2337, 30.2327) * CHOOSE(CONTROL!$C$16, $D$11, 100%, $F$11)</f>
        <v>30.233699999999999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69153</v>
      </c>
      <c r="B920" s="8">
        <f>CHOOSE( CONTROL!$C$33, 31.636, 31.6349) * CHOOSE(CONTROL!$C$16, $D$11, 100%, $F$11)</f>
        <v>31.635999999999999</v>
      </c>
      <c r="C920" s="8">
        <f>CHOOSE( CONTROL!$C$33, 31.6405, 31.6394) * CHOOSE(CONTROL!$C$16, $D$11, 100%, $F$11)</f>
        <v>31.640499999999999</v>
      </c>
      <c r="D920" s="8">
        <f>CHOOSE( CONTROL!$C$33, 31.6649, 31.6638) * CHOOSE( CONTROL!$C$16, $D$11, 100%, $F$11)</f>
        <v>31.664899999999999</v>
      </c>
      <c r="E920" s="12">
        <f>CHOOSE( CONTROL!$C$33, 31.6563, 31.6552) * CHOOSE( CONTROL!$C$16, $D$11, 100%, $F$11)</f>
        <v>31.656300000000002</v>
      </c>
      <c r="F920" s="4">
        <f>CHOOSE( CONTROL!$C$33, 32.3649, 32.3638) * CHOOSE(CONTROL!$C$16, $D$11, 100%, $F$11)</f>
        <v>32.364899999999999</v>
      </c>
      <c r="G920" s="8">
        <f>CHOOSE( CONTROL!$C$33, 31.2957, 31.2946) * CHOOSE( CONTROL!$C$16, $D$11, 100%, $F$11)</f>
        <v>31.2957</v>
      </c>
      <c r="H920" s="4">
        <f>CHOOSE( CONTROL!$C$33, 32.2325, 32.2315) * CHOOSE(CONTROL!$C$16, $D$11, 100%, $F$11)</f>
        <v>32.232500000000002</v>
      </c>
      <c r="I920" s="8">
        <f>CHOOSE( CONTROL!$C$33, 30.833, 30.832) * CHOOSE(CONTROL!$C$16, $D$11, 100%, $F$11)</f>
        <v>30.832999999999998</v>
      </c>
      <c r="J920" s="4">
        <f>CHOOSE( CONTROL!$C$33, 30.6932, 30.6922) * CHOOSE(CONTROL!$C$16, $D$11, 100%, $F$11)</f>
        <v>30.693200000000001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1.2509999999999999</v>
      </c>
      <c r="Q920" s="9">
        <v>19.053000000000001</v>
      </c>
      <c r="R920" s="9"/>
      <c r="S920" s="11"/>
    </row>
    <row r="921" spans="1:19" ht="15.75">
      <c r="A921" s="13">
        <v>69184</v>
      </c>
      <c r="B921" s="8">
        <f>CHOOSE( CONTROL!$C$33, 32.4806, 32.4789) * CHOOSE(CONTROL!$C$16, $D$11, 100%, $F$11)</f>
        <v>32.480600000000003</v>
      </c>
      <c r="C921" s="8">
        <f>CHOOSE( CONTROL!$C$33, 32.4886, 32.4869) * CHOOSE(CONTROL!$C$16, $D$11, 100%, $F$11)</f>
        <v>32.488599999999998</v>
      </c>
      <c r="D921" s="8">
        <f>CHOOSE( CONTROL!$C$33, 32.5069, 32.5052) * CHOOSE( CONTROL!$C$16, $D$11, 100%, $F$11)</f>
        <v>32.506900000000002</v>
      </c>
      <c r="E921" s="12">
        <f>CHOOSE( CONTROL!$C$33, 32.499, 32.4973) * CHOOSE( CONTROL!$C$16, $D$11, 100%, $F$11)</f>
        <v>32.499000000000002</v>
      </c>
      <c r="F921" s="4">
        <f>CHOOSE( CONTROL!$C$33, 33.2082, 33.2065) * CHOOSE(CONTROL!$C$16, $D$11, 100%, $F$11)</f>
        <v>33.208199999999998</v>
      </c>
      <c r="G921" s="8">
        <f>CHOOSE( CONTROL!$C$33, 32.1289, 32.1273) * CHOOSE( CONTROL!$C$16, $D$11, 100%, $F$11)</f>
        <v>32.128900000000002</v>
      </c>
      <c r="H921" s="4">
        <f>CHOOSE( CONTROL!$C$33, 33.0659, 33.0643) * CHOOSE(CONTROL!$C$16, $D$11, 100%, $F$11)</f>
        <v>33.065899999999999</v>
      </c>
      <c r="I921" s="8">
        <f>CHOOSE( CONTROL!$C$33, 31.6512, 31.6496) * CHOOSE(CONTROL!$C$16, $D$11, 100%, $F$11)</f>
        <v>31.651199999999999</v>
      </c>
      <c r="J921" s="4">
        <f>CHOOSE( CONTROL!$C$33, 31.5116, 31.51) * CHOOSE(CONTROL!$C$16, $D$11, 100%, $F$11)</f>
        <v>31.511600000000001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1.2927</v>
      </c>
      <c r="Q921" s="9">
        <v>19.688099999999999</v>
      </c>
      <c r="R921" s="9"/>
      <c r="S921" s="11"/>
    </row>
    <row r="922" spans="1:19" ht="15.75">
      <c r="A922" s="13">
        <v>69214</v>
      </c>
      <c r="B922" s="8">
        <f>CHOOSE( CONTROL!$C$33, 31.9586, 31.9569) * CHOOSE(CONTROL!$C$16, $D$11, 100%, $F$11)</f>
        <v>31.958600000000001</v>
      </c>
      <c r="C922" s="8">
        <f>CHOOSE( CONTROL!$C$33, 31.9666, 31.9649) * CHOOSE(CONTROL!$C$16, $D$11, 100%, $F$11)</f>
        <v>31.9666</v>
      </c>
      <c r="D922" s="8">
        <f>CHOOSE( CONTROL!$C$33, 31.9851, 31.9835) * CHOOSE( CONTROL!$C$16, $D$11, 100%, $F$11)</f>
        <v>31.985099999999999</v>
      </c>
      <c r="E922" s="12">
        <f>CHOOSE( CONTROL!$C$33, 31.9772, 31.9755) * CHOOSE( CONTROL!$C$16, $D$11, 100%, $F$11)</f>
        <v>31.9772</v>
      </c>
      <c r="F922" s="4">
        <f>CHOOSE( CONTROL!$C$33, 32.6861, 32.6845) * CHOOSE(CONTROL!$C$16, $D$11, 100%, $F$11)</f>
        <v>32.686100000000003</v>
      </c>
      <c r="G922" s="8">
        <f>CHOOSE( CONTROL!$C$33, 31.6132, 31.6116) * CHOOSE( CONTROL!$C$16, $D$11, 100%, $F$11)</f>
        <v>31.613199999999999</v>
      </c>
      <c r="H922" s="4">
        <f>CHOOSE( CONTROL!$C$33, 32.55, 32.5484) * CHOOSE(CONTROL!$C$16, $D$11, 100%, $F$11)</f>
        <v>32.549999999999997</v>
      </c>
      <c r="I922" s="8">
        <f>CHOOSE( CONTROL!$C$33, 31.1452, 31.1436) * CHOOSE(CONTROL!$C$16, $D$11, 100%, $F$11)</f>
        <v>31.145199999999999</v>
      </c>
      <c r="J922" s="4">
        <f>CHOOSE( CONTROL!$C$33, 31.005, 31.0034) * CHOOSE(CONTROL!$C$16, $D$11, 100%, $F$11)</f>
        <v>31.004999999999999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1.2509999999999999</v>
      </c>
      <c r="Q922" s="9">
        <v>19.053000000000001</v>
      </c>
      <c r="R922" s="9"/>
      <c r="S922" s="11"/>
    </row>
    <row r="923" spans="1:19" ht="15.75">
      <c r="A923" s="13">
        <v>69245</v>
      </c>
      <c r="B923" s="8">
        <f>CHOOSE( CONTROL!$C$33, 33.3332, 33.3316) * CHOOSE(CONTROL!$C$16, $D$11, 100%, $F$11)</f>
        <v>33.333199999999998</v>
      </c>
      <c r="C923" s="8">
        <f>CHOOSE( CONTROL!$C$33, 33.3412, 33.3396) * CHOOSE(CONTROL!$C$16, $D$11, 100%, $F$11)</f>
        <v>33.341200000000001</v>
      </c>
      <c r="D923" s="8">
        <f>CHOOSE( CONTROL!$C$33, 33.36, 33.3583) * CHOOSE( CONTROL!$C$16, $D$11, 100%, $F$11)</f>
        <v>33.36</v>
      </c>
      <c r="E923" s="12">
        <f>CHOOSE( CONTROL!$C$33, 33.352, 33.3503) * CHOOSE( CONTROL!$C$16, $D$11, 100%, $F$11)</f>
        <v>33.351999999999997</v>
      </c>
      <c r="F923" s="4">
        <f>CHOOSE( CONTROL!$C$33, 34.0608, 34.0591) * CHOOSE(CONTROL!$C$16, $D$11, 100%, $F$11)</f>
        <v>34.0608</v>
      </c>
      <c r="G923" s="8">
        <f>CHOOSE( CONTROL!$C$33, 32.972, 32.9703) * CHOOSE( CONTROL!$C$16, $D$11, 100%, $F$11)</f>
        <v>32.972000000000001</v>
      </c>
      <c r="H923" s="4">
        <f>CHOOSE( CONTROL!$C$33, 33.9085, 33.9069) * CHOOSE(CONTROL!$C$16, $D$11, 100%, $F$11)</f>
        <v>33.908499999999997</v>
      </c>
      <c r="I923" s="8">
        <f>CHOOSE( CONTROL!$C$33, 32.4808, 32.4792) * CHOOSE(CONTROL!$C$16, $D$11, 100%, $F$11)</f>
        <v>32.480800000000002</v>
      </c>
      <c r="J923" s="4">
        <f>CHOOSE( CONTROL!$C$33, 32.3391, 32.3375) * CHOOSE(CONTROL!$C$16, $D$11, 100%, $F$11)</f>
        <v>32.339100000000002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1.2927</v>
      </c>
      <c r="Q923" s="9">
        <v>19.688099999999999</v>
      </c>
      <c r="R923" s="9"/>
      <c r="S923" s="11"/>
    </row>
    <row r="924" spans="1:19" ht="15.75">
      <c r="A924" s="13">
        <v>69276</v>
      </c>
      <c r="B924" s="8">
        <f>CHOOSE( CONTROL!$C$33, 30.7611, 30.7595) * CHOOSE(CONTROL!$C$16, $D$11, 100%, $F$11)</f>
        <v>30.761099999999999</v>
      </c>
      <c r="C924" s="8">
        <f>CHOOSE( CONTROL!$C$33, 30.7691, 30.7675) * CHOOSE(CONTROL!$C$16, $D$11, 100%, $F$11)</f>
        <v>30.769100000000002</v>
      </c>
      <c r="D924" s="8">
        <f>CHOOSE( CONTROL!$C$33, 30.788, 30.7863) * CHOOSE( CONTROL!$C$16, $D$11, 100%, $F$11)</f>
        <v>30.788</v>
      </c>
      <c r="E924" s="12">
        <f>CHOOSE( CONTROL!$C$33, 30.7799, 30.7783) * CHOOSE( CONTROL!$C$16, $D$11, 100%, $F$11)</f>
        <v>30.779900000000001</v>
      </c>
      <c r="F924" s="4">
        <f>CHOOSE( CONTROL!$C$33, 31.4887, 31.487) * CHOOSE(CONTROL!$C$16, $D$11, 100%, $F$11)</f>
        <v>31.488700000000001</v>
      </c>
      <c r="G924" s="8">
        <f>CHOOSE( CONTROL!$C$33, 30.4301, 30.4284) * CHOOSE( CONTROL!$C$16, $D$11, 100%, $F$11)</f>
        <v>30.430099999999999</v>
      </c>
      <c r="H924" s="4">
        <f>CHOOSE( CONTROL!$C$33, 31.3666, 31.3649) * CHOOSE(CONTROL!$C$16, $D$11, 100%, $F$11)</f>
        <v>31.366599999999998</v>
      </c>
      <c r="I924" s="8">
        <f>CHOOSE( CONTROL!$C$33, 29.9836, 29.982) * CHOOSE(CONTROL!$C$16, $D$11, 100%, $F$11)</f>
        <v>29.983599999999999</v>
      </c>
      <c r="J924" s="4">
        <f>CHOOSE( CONTROL!$C$33, 29.8429, 29.8413) * CHOOSE(CONTROL!$C$16, $D$11, 100%, $F$11)</f>
        <v>29.8429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1.2927</v>
      </c>
      <c r="Q924" s="9">
        <v>19.688099999999999</v>
      </c>
      <c r="R924" s="9"/>
      <c r="S924" s="11"/>
    </row>
    <row r="925" spans="1:19" ht="15.75">
      <c r="A925" s="13">
        <v>69306</v>
      </c>
      <c r="B925" s="8">
        <f>CHOOSE( CONTROL!$C$33, 30.1171, 30.1154) * CHOOSE(CONTROL!$C$16, $D$11, 100%, $F$11)</f>
        <v>30.117100000000001</v>
      </c>
      <c r="C925" s="8">
        <f>CHOOSE( CONTROL!$C$33, 30.125, 30.1234) * CHOOSE(CONTROL!$C$16, $D$11, 100%, $F$11)</f>
        <v>30.125</v>
      </c>
      <c r="D925" s="8">
        <f>CHOOSE( CONTROL!$C$33, 30.1438, 30.1421) * CHOOSE( CONTROL!$C$16, $D$11, 100%, $F$11)</f>
        <v>30.143799999999999</v>
      </c>
      <c r="E925" s="12">
        <f>CHOOSE( CONTROL!$C$33, 30.1358, 30.1341) * CHOOSE( CONTROL!$C$16, $D$11, 100%, $F$11)</f>
        <v>30.1358</v>
      </c>
      <c r="F925" s="4">
        <f>CHOOSE( CONTROL!$C$33, 30.8446, 30.843) * CHOOSE(CONTROL!$C$16, $D$11, 100%, $F$11)</f>
        <v>30.8446</v>
      </c>
      <c r="G925" s="8">
        <f>CHOOSE( CONTROL!$C$33, 29.7934, 29.7918) * CHOOSE( CONTROL!$C$16, $D$11, 100%, $F$11)</f>
        <v>29.793399999999998</v>
      </c>
      <c r="H925" s="4">
        <f>CHOOSE( CONTROL!$C$33, 30.73, 30.7284) * CHOOSE(CONTROL!$C$16, $D$11, 100%, $F$11)</f>
        <v>30.73</v>
      </c>
      <c r="I925" s="8">
        <f>CHOOSE( CONTROL!$C$33, 29.3578, 29.3562) * CHOOSE(CONTROL!$C$16, $D$11, 100%, $F$11)</f>
        <v>29.357800000000001</v>
      </c>
      <c r="J925" s="4">
        <f>CHOOSE( CONTROL!$C$33, 29.2178, 29.2162) * CHOOSE(CONTROL!$C$16, $D$11, 100%, $F$11)</f>
        <v>29.2178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1.2509999999999999</v>
      </c>
      <c r="Q925" s="9">
        <v>19.053000000000001</v>
      </c>
      <c r="R925" s="9"/>
      <c r="S925" s="11"/>
    </row>
    <row r="926" spans="1:19" ht="15.75">
      <c r="A926" s="13">
        <v>69337</v>
      </c>
      <c r="B926" s="8">
        <f>CHOOSE( CONTROL!$C$33, 31.4521, 31.451) * CHOOSE(CONTROL!$C$16, $D$11, 100%, $F$11)</f>
        <v>31.452100000000002</v>
      </c>
      <c r="C926" s="8">
        <f>CHOOSE( CONTROL!$C$33, 31.4574, 31.4563) * CHOOSE(CONTROL!$C$16, $D$11, 100%, $F$11)</f>
        <v>31.4574</v>
      </c>
      <c r="D926" s="8">
        <f>CHOOSE( CONTROL!$C$33, 31.4818, 31.4808) * CHOOSE( CONTROL!$C$16, $D$11, 100%, $F$11)</f>
        <v>31.4818</v>
      </c>
      <c r="E926" s="12">
        <f>CHOOSE( CONTROL!$C$33, 31.4732, 31.4721) * CHOOSE( CONTROL!$C$16, $D$11, 100%, $F$11)</f>
        <v>31.473199999999999</v>
      </c>
      <c r="F926" s="4">
        <f>CHOOSE( CONTROL!$C$33, 32.1814, 32.1803) * CHOOSE(CONTROL!$C$16, $D$11, 100%, $F$11)</f>
        <v>32.181399999999996</v>
      </c>
      <c r="G926" s="8">
        <f>CHOOSE( CONTROL!$C$33, 31.1147, 31.1136) * CHOOSE( CONTROL!$C$16, $D$11, 100%, $F$11)</f>
        <v>31.114699999999999</v>
      </c>
      <c r="H926" s="4">
        <f>CHOOSE( CONTROL!$C$33, 32.0511, 32.0501) * CHOOSE(CONTROL!$C$16, $D$11, 100%, $F$11)</f>
        <v>32.051099999999998</v>
      </c>
      <c r="I926" s="8">
        <f>CHOOSE( CONTROL!$C$33, 30.6567, 30.6557) * CHOOSE(CONTROL!$C$16, $D$11, 100%, $F$11)</f>
        <v>30.656700000000001</v>
      </c>
      <c r="J926" s="4">
        <f>CHOOSE( CONTROL!$C$33, 30.5151, 30.5141) * CHOOSE(CONTROL!$C$16, $D$11, 100%, $F$11)</f>
        <v>30.5151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1.2927</v>
      </c>
      <c r="Q926" s="9">
        <v>19.688099999999999</v>
      </c>
      <c r="R926" s="9"/>
      <c r="S926" s="11"/>
    </row>
    <row r="927" spans="1:19" ht="15.75">
      <c r="A927" s="13">
        <v>69367</v>
      </c>
      <c r="B927" s="8">
        <f>CHOOSE( CONTROL!$C$33, 33.9201, 33.9191) * CHOOSE(CONTROL!$C$16, $D$11, 100%, $F$11)</f>
        <v>33.920099999999998</v>
      </c>
      <c r="C927" s="8">
        <f>CHOOSE( CONTROL!$C$33, 33.9252, 33.9241) * CHOOSE(CONTROL!$C$16, $D$11, 100%, $F$11)</f>
        <v>33.925199999999997</v>
      </c>
      <c r="D927" s="8">
        <f>CHOOSE( CONTROL!$C$33, 33.9156, 33.9145) * CHOOSE( CONTROL!$C$16, $D$11, 100%, $F$11)</f>
        <v>33.915599999999998</v>
      </c>
      <c r="E927" s="12">
        <f>CHOOSE( CONTROL!$C$33, 33.9186, 33.9175) * CHOOSE( CONTROL!$C$16, $D$11, 100%, $F$11)</f>
        <v>33.918599999999998</v>
      </c>
      <c r="F927" s="4">
        <f>CHOOSE( CONTROL!$C$33, 34.5803, 34.5792) * CHOOSE(CONTROL!$C$16, $D$11, 100%, $F$11)</f>
        <v>34.580300000000001</v>
      </c>
      <c r="G927" s="8">
        <f>CHOOSE( CONTROL!$C$33, 33.5408, 33.5398) * CHOOSE( CONTROL!$C$16, $D$11, 100%, $F$11)</f>
        <v>33.540799999999997</v>
      </c>
      <c r="H927" s="4">
        <f>CHOOSE( CONTROL!$C$33, 34.422, 34.4209) * CHOOSE(CONTROL!$C$16, $D$11, 100%, $F$11)</f>
        <v>34.421999999999997</v>
      </c>
      <c r="I927" s="8">
        <f>CHOOSE( CONTROL!$C$33, 33.1129, 33.1118) * CHOOSE(CONTROL!$C$16, $D$11, 100%, $F$11)</f>
        <v>33.112900000000003</v>
      </c>
      <c r="J927" s="4">
        <f>CHOOSE( CONTROL!$C$33, 32.9107, 32.9097) * CHOOSE(CONTROL!$C$16, $D$11, 100%, $F$11)</f>
        <v>32.910699999999999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69398</v>
      </c>
      <c r="B928" s="8">
        <f>CHOOSE( CONTROL!$C$33, 33.8585, 33.8574) * CHOOSE(CONTROL!$C$16, $D$11, 100%, $F$11)</f>
        <v>33.858499999999999</v>
      </c>
      <c r="C928" s="8">
        <f>CHOOSE( CONTROL!$C$33, 33.8635, 33.8625) * CHOOSE(CONTROL!$C$16, $D$11, 100%, $F$11)</f>
        <v>33.863500000000002</v>
      </c>
      <c r="D928" s="8">
        <f>CHOOSE( CONTROL!$C$33, 33.8554, 33.8543) * CHOOSE( CONTROL!$C$16, $D$11, 100%, $F$11)</f>
        <v>33.855400000000003</v>
      </c>
      <c r="E928" s="12">
        <f>CHOOSE( CONTROL!$C$33, 33.8578, 33.8568) * CHOOSE( CONTROL!$C$16, $D$11, 100%, $F$11)</f>
        <v>33.857799999999997</v>
      </c>
      <c r="F928" s="4">
        <f>CHOOSE( CONTROL!$C$33, 34.5186, 34.5175) * CHOOSE(CONTROL!$C$16, $D$11, 100%, $F$11)</f>
        <v>34.518599999999999</v>
      </c>
      <c r="G928" s="8">
        <f>CHOOSE( CONTROL!$C$33, 33.4809, 33.4798) * CHOOSE( CONTROL!$C$16, $D$11, 100%, $F$11)</f>
        <v>33.480899999999998</v>
      </c>
      <c r="H928" s="4">
        <f>CHOOSE( CONTROL!$C$33, 34.361, 34.3599) * CHOOSE(CONTROL!$C$16, $D$11, 100%, $F$11)</f>
        <v>34.360999999999997</v>
      </c>
      <c r="I928" s="8">
        <f>CHOOSE( CONTROL!$C$33, 33.0574, 33.0564) * CHOOSE(CONTROL!$C$16, $D$11, 100%, $F$11)</f>
        <v>33.057400000000001</v>
      </c>
      <c r="J928" s="4">
        <f>CHOOSE( CONTROL!$C$33, 32.8509, 32.8498) * CHOOSE(CONTROL!$C$16, $D$11, 100%, $F$11)</f>
        <v>32.850900000000003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69429</v>
      </c>
      <c r="B929" s="8">
        <f>CHOOSE( CONTROL!$C$33, 34.8569, 34.8558) * CHOOSE(CONTROL!$C$16, $D$11, 100%, $F$11)</f>
        <v>34.856900000000003</v>
      </c>
      <c r="C929" s="8">
        <f>CHOOSE( CONTROL!$C$33, 34.862, 34.8609) * CHOOSE(CONTROL!$C$16, $D$11, 100%, $F$11)</f>
        <v>34.862000000000002</v>
      </c>
      <c r="D929" s="8">
        <f>CHOOSE( CONTROL!$C$33, 34.8646, 34.8635) * CHOOSE( CONTROL!$C$16, $D$11, 100%, $F$11)</f>
        <v>34.864600000000003</v>
      </c>
      <c r="E929" s="12">
        <f>CHOOSE( CONTROL!$C$33, 34.8631, 34.862) * CHOOSE( CONTROL!$C$16, $D$11, 100%, $F$11)</f>
        <v>34.863100000000003</v>
      </c>
      <c r="F929" s="4">
        <f>CHOOSE( CONTROL!$C$33, 35.517, 35.5159) * CHOOSE(CONTROL!$C$16, $D$11, 100%, $F$11)</f>
        <v>35.517000000000003</v>
      </c>
      <c r="G929" s="8">
        <f>CHOOSE( CONTROL!$C$33, 34.4705, 34.4694) * CHOOSE( CONTROL!$C$16, $D$11, 100%, $F$11)</f>
        <v>34.470500000000001</v>
      </c>
      <c r="H929" s="4">
        <f>CHOOSE( CONTROL!$C$33, 35.3477, 35.3467) * CHOOSE(CONTROL!$C$16, $D$11, 100%, $F$11)</f>
        <v>35.347700000000003</v>
      </c>
      <c r="I929" s="8">
        <f>CHOOSE( CONTROL!$C$33, 33.9984, 33.9973) * CHOOSE(CONTROL!$C$16, $D$11, 100%, $F$11)</f>
        <v>33.998399999999997</v>
      </c>
      <c r="J929" s="4">
        <f>CHOOSE( CONTROL!$C$33, 33.8199, 33.8188) * CHOOSE(CONTROL!$C$16, $D$11, 100%, $F$11)</f>
        <v>33.819899999999997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69457</v>
      </c>
      <c r="B930" s="8">
        <f>CHOOSE( CONTROL!$C$33, 32.6041, 32.603) * CHOOSE(CONTROL!$C$16, $D$11, 100%, $F$11)</f>
        <v>32.604100000000003</v>
      </c>
      <c r="C930" s="8">
        <f>CHOOSE( CONTROL!$C$33, 32.6092, 32.6081) * CHOOSE(CONTROL!$C$16, $D$11, 100%, $F$11)</f>
        <v>32.609200000000001</v>
      </c>
      <c r="D930" s="8">
        <f>CHOOSE( CONTROL!$C$33, 32.6117, 32.6107) * CHOOSE( CONTROL!$C$16, $D$11, 100%, $F$11)</f>
        <v>32.611699999999999</v>
      </c>
      <c r="E930" s="12">
        <f>CHOOSE( CONTROL!$C$33, 32.6102, 32.6092) * CHOOSE( CONTROL!$C$16, $D$11, 100%, $F$11)</f>
        <v>32.610199999999999</v>
      </c>
      <c r="F930" s="4">
        <f>CHOOSE( CONTROL!$C$33, 33.2642, 33.2631) * CHOOSE(CONTROL!$C$16, $D$11, 100%, $F$11)</f>
        <v>33.264200000000002</v>
      </c>
      <c r="G930" s="8">
        <f>CHOOSE( CONTROL!$C$33, 32.244, 32.2429) * CHOOSE( CONTROL!$C$16, $D$11, 100%, $F$11)</f>
        <v>32.244</v>
      </c>
      <c r="H930" s="4">
        <f>CHOOSE( CONTROL!$C$33, 33.1213, 33.1203) * CHOOSE(CONTROL!$C$16, $D$11, 100%, $F$11)</f>
        <v>33.121299999999998</v>
      </c>
      <c r="I930" s="8">
        <f>CHOOSE( CONTROL!$C$33, 31.8107, 31.8096) * CHOOSE(CONTROL!$C$16, $D$11, 100%, $F$11)</f>
        <v>31.810700000000001</v>
      </c>
      <c r="J930" s="4">
        <f>CHOOSE( CONTROL!$C$33, 31.6335, 31.6325) * CHOOSE(CONTROL!$C$16, $D$11, 100%, $F$11)</f>
        <v>31.633500000000002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69488</v>
      </c>
      <c r="B931" s="8">
        <f>CHOOSE( CONTROL!$C$33, 31.9103, 31.9092) * CHOOSE(CONTROL!$C$16, $D$11, 100%, $F$11)</f>
        <v>31.910299999999999</v>
      </c>
      <c r="C931" s="8">
        <f>CHOOSE( CONTROL!$C$33, 31.9153, 31.9142) * CHOOSE(CONTROL!$C$16, $D$11, 100%, $F$11)</f>
        <v>31.915299999999998</v>
      </c>
      <c r="D931" s="8">
        <f>CHOOSE( CONTROL!$C$33, 31.9172, 31.9161) * CHOOSE( CONTROL!$C$16, $D$11, 100%, $F$11)</f>
        <v>31.917200000000001</v>
      </c>
      <c r="E931" s="12">
        <f>CHOOSE( CONTROL!$C$33, 31.916, 31.9149) * CHOOSE( CONTROL!$C$16, $D$11, 100%, $F$11)</f>
        <v>31.916</v>
      </c>
      <c r="F931" s="4">
        <f>CHOOSE( CONTROL!$C$33, 32.5704, 32.5693) * CHOOSE(CONTROL!$C$16, $D$11, 100%, $F$11)</f>
        <v>32.570399999999999</v>
      </c>
      <c r="G931" s="8">
        <f>CHOOSE( CONTROL!$C$33, 31.5578, 31.5567) * CHOOSE( CONTROL!$C$16, $D$11, 100%, $F$11)</f>
        <v>31.5578</v>
      </c>
      <c r="H931" s="4">
        <f>CHOOSE( CONTROL!$C$33, 32.4356, 32.4345) * CHOOSE(CONTROL!$C$16, $D$11, 100%, $F$11)</f>
        <v>32.435600000000001</v>
      </c>
      <c r="I931" s="8">
        <f>CHOOSE( CONTROL!$C$33, 31.1348, 31.1338) * CHOOSE(CONTROL!$C$16, $D$11, 100%, $F$11)</f>
        <v>31.134799999999998</v>
      </c>
      <c r="J931" s="4">
        <f>CHOOSE( CONTROL!$C$33, 30.9601, 30.9591) * CHOOSE(CONTROL!$C$16, $D$11, 100%, $F$11)</f>
        <v>30.960100000000001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69518</v>
      </c>
      <c r="B932" s="8">
        <f>CHOOSE( CONTROL!$C$33, 32.3959, 32.3948) * CHOOSE(CONTROL!$C$16, $D$11, 100%, $F$11)</f>
        <v>32.395899999999997</v>
      </c>
      <c r="C932" s="8">
        <f>CHOOSE( CONTROL!$C$33, 32.4004, 32.3993) * CHOOSE(CONTROL!$C$16, $D$11, 100%, $F$11)</f>
        <v>32.400399999999998</v>
      </c>
      <c r="D932" s="8">
        <f>CHOOSE( CONTROL!$C$33, 32.4247, 32.4236) * CHOOSE( CONTROL!$C$16, $D$11, 100%, $F$11)</f>
        <v>32.424700000000001</v>
      </c>
      <c r="E932" s="12">
        <f>CHOOSE( CONTROL!$C$33, 32.4162, 32.4151) * CHOOSE( CONTROL!$C$16, $D$11, 100%, $F$11)</f>
        <v>32.416200000000003</v>
      </c>
      <c r="F932" s="4">
        <f>CHOOSE( CONTROL!$C$33, 33.1248, 33.1237) * CHOOSE(CONTROL!$C$16, $D$11, 100%, $F$11)</f>
        <v>33.1248</v>
      </c>
      <c r="G932" s="8">
        <f>CHOOSE( CONTROL!$C$33, 32.0466, 32.0456) * CHOOSE( CONTROL!$C$16, $D$11, 100%, $F$11)</f>
        <v>32.046599999999998</v>
      </c>
      <c r="H932" s="4">
        <f>CHOOSE( CONTROL!$C$33, 32.9835, 32.9824) * CHOOSE(CONTROL!$C$16, $D$11, 100%, $F$11)</f>
        <v>32.983499999999999</v>
      </c>
      <c r="I932" s="8">
        <f>CHOOSE( CONTROL!$C$33, 31.5709, 31.5698) * CHOOSE(CONTROL!$C$16, $D$11, 100%, $F$11)</f>
        <v>31.570900000000002</v>
      </c>
      <c r="J932" s="4">
        <f>CHOOSE( CONTROL!$C$33, 31.4307, 31.4296) * CHOOSE(CONTROL!$C$16, $D$11, 100%, $F$11)</f>
        <v>31.430700000000002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1.2509999999999999</v>
      </c>
      <c r="Q932" s="9">
        <v>19.053000000000001</v>
      </c>
      <c r="R932" s="9"/>
      <c r="S932" s="11"/>
    </row>
    <row r="933" spans="1:19" ht="15.75">
      <c r="A933" s="13">
        <v>69549</v>
      </c>
      <c r="B933" s="8">
        <f>CHOOSE( CONTROL!$C$33, 33.2607, 33.2591) * CHOOSE(CONTROL!$C$16, $D$11, 100%, $F$11)</f>
        <v>33.2607</v>
      </c>
      <c r="C933" s="8">
        <f>CHOOSE( CONTROL!$C$33, 33.2687, 33.267) * CHOOSE(CONTROL!$C$16, $D$11, 100%, $F$11)</f>
        <v>33.268700000000003</v>
      </c>
      <c r="D933" s="8">
        <f>CHOOSE( CONTROL!$C$33, 33.287, 33.2853) * CHOOSE( CONTROL!$C$16, $D$11, 100%, $F$11)</f>
        <v>33.286999999999999</v>
      </c>
      <c r="E933" s="12">
        <f>CHOOSE( CONTROL!$C$33, 33.2791, 33.2775) * CHOOSE( CONTROL!$C$16, $D$11, 100%, $F$11)</f>
        <v>33.2791</v>
      </c>
      <c r="F933" s="4">
        <f>CHOOSE( CONTROL!$C$33, 33.9883, 33.9866) * CHOOSE(CONTROL!$C$16, $D$11, 100%, $F$11)</f>
        <v>33.988300000000002</v>
      </c>
      <c r="G933" s="8">
        <f>CHOOSE( CONTROL!$C$33, 32.8999, 32.8983) * CHOOSE( CONTROL!$C$16, $D$11, 100%, $F$11)</f>
        <v>32.899900000000002</v>
      </c>
      <c r="H933" s="4">
        <f>CHOOSE( CONTROL!$C$33, 33.8369, 33.8352) * CHOOSE(CONTROL!$C$16, $D$11, 100%, $F$11)</f>
        <v>33.8369</v>
      </c>
      <c r="I933" s="8">
        <f>CHOOSE( CONTROL!$C$33, 32.4087, 32.4071) * CHOOSE(CONTROL!$C$16, $D$11, 100%, $F$11)</f>
        <v>32.408700000000003</v>
      </c>
      <c r="J933" s="4">
        <f>CHOOSE( CONTROL!$C$33, 32.2687, 32.2671) * CHOOSE(CONTROL!$C$16, $D$11, 100%, $F$11)</f>
        <v>32.268700000000003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1.2927</v>
      </c>
      <c r="Q933" s="9">
        <v>19.688099999999999</v>
      </c>
      <c r="R933" s="9"/>
      <c r="S933" s="11"/>
    </row>
    <row r="934" spans="1:19" ht="15.75">
      <c r="A934" s="13">
        <v>69579</v>
      </c>
      <c r="B934" s="8">
        <f>CHOOSE( CONTROL!$C$33, 32.7262, 32.7245) * CHOOSE(CONTROL!$C$16, $D$11, 100%, $F$11)</f>
        <v>32.726199999999999</v>
      </c>
      <c r="C934" s="8">
        <f>CHOOSE( CONTROL!$C$33, 32.7341, 32.7325) * CHOOSE(CONTROL!$C$16, $D$11, 100%, $F$11)</f>
        <v>32.734099999999998</v>
      </c>
      <c r="D934" s="8">
        <f>CHOOSE( CONTROL!$C$33, 32.7527, 32.751) * CHOOSE( CONTROL!$C$16, $D$11, 100%, $F$11)</f>
        <v>32.752699999999997</v>
      </c>
      <c r="E934" s="12">
        <f>CHOOSE( CONTROL!$C$33, 32.7448, 32.7431) * CHOOSE( CONTROL!$C$16, $D$11, 100%, $F$11)</f>
        <v>32.744799999999998</v>
      </c>
      <c r="F934" s="4">
        <f>CHOOSE( CONTROL!$C$33, 33.4537, 33.4521) * CHOOSE(CONTROL!$C$16, $D$11, 100%, $F$11)</f>
        <v>33.453699999999998</v>
      </c>
      <c r="G934" s="8">
        <f>CHOOSE( CONTROL!$C$33, 32.3718, 32.3702) * CHOOSE( CONTROL!$C$16, $D$11, 100%, $F$11)</f>
        <v>32.3718</v>
      </c>
      <c r="H934" s="4">
        <f>CHOOSE( CONTROL!$C$33, 33.3086, 33.307) * CHOOSE(CONTROL!$C$16, $D$11, 100%, $F$11)</f>
        <v>33.308599999999998</v>
      </c>
      <c r="I934" s="8">
        <f>CHOOSE( CONTROL!$C$33, 31.8905, 31.8889) * CHOOSE(CONTROL!$C$16, $D$11, 100%, $F$11)</f>
        <v>31.890499999999999</v>
      </c>
      <c r="J934" s="4">
        <f>CHOOSE( CONTROL!$C$33, 31.7499, 31.7483) * CHOOSE(CONTROL!$C$16, $D$11, 100%, $F$11)</f>
        <v>31.7499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1.2509999999999999</v>
      </c>
      <c r="Q934" s="9">
        <v>19.053000000000001</v>
      </c>
      <c r="R934" s="9"/>
      <c r="S934" s="11"/>
    </row>
    <row r="935" spans="1:19" ht="15.75">
      <c r="A935" s="13">
        <v>69610</v>
      </c>
      <c r="B935" s="8">
        <f>CHOOSE( CONTROL!$C$33, 34.1338, 34.1322) * CHOOSE(CONTROL!$C$16, $D$11, 100%, $F$11)</f>
        <v>34.133800000000001</v>
      </c>
      <c r="C935" s="8">
        <f>CHOOSE( CONTROL!$C$33, 34.1418, 34.1402) * CHOOSE(CONTROL!$C$16, $D$11, 100%, $F$11)</f>
        <v>34.141800000000003</v>
      </c>
      <c r="D935" s="8">
        <f>CHOOSE( CONTROL!$C$33, 34.1606, 34.159) * CHOOSE( CONTROL!$C$16, $D$11, 100%, $F$11)</f>
        <v>34.160600000000002</v>
      </c>
      <c r="E935" s="12">
        <f>CHOOSE( CONTROL!$C$33, 34.1526, 34.151) * CHOOSE( CONTROL!$C$16, $D$11, 100%, $F$11)</f>
        <v>34.1526</v>
      </c>
      <c r="F935" s="4">
        <f>CHOOSE( CONTROL!$C$33, 34.8614, 34.8597) * CHOOSE(CONTROL!$C$16, $D$11, 100%, $F$11)</f>
        <v>34.861400000000003</v>
      </c>
      <c r="G935" s="8">
        <f>CHOOSE( CONTROL!$C$33, 33.7632, 33.7616) * CHOOSE( CONTROL!$C$16, $D$11, 100%, $F$11)</f>
        <v>33.763199999999998</v>
      </c>
      <c r="H935" s="4">
        <f>CHOOSE( CONTROL!$C$33, 34.6998, 34.6981) * CHOOSE(CONTROL!$C$16, $D$11, 100%, $F$11)</f>
        <v>34.699800000000003</v>
      </c>
      <c r="I935" s="8">
        <f>CHOOSE( CONTROL!$C$33, 33.2582, 33.2566) * CHOOSE(CONTROL!$C$16, $D$11, 100%, $F$11)</f>
        <v>33.258200000000002</v>
      </c>
      <c r="J935" s="4">
        <f>CHOOSE( CONTROL!$C$33, 33.1161, 33.1145) * CHOOSE(CONTROL!$C$16, $D$11, 100%, $F$11)</f>
        <v>33.116100000000003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1.2927</v>
      </c>
      <c r="Q935" s="9">
        <v>19.688099999999999</v>
      </c>
      <c r="R935" s="9"/>
      <c r="S935" s="11"/>
    </row>
    <row r="936" spans="1:19" ht="15.75">
      <c r="A936" s="13">
        <v>69641</v>
      </c>
      <c r="B936" s="8">
        <f>CHOOSE( CONTROL!$C$33, 31.4999, 31.4983) * CHOOSE(CONTROL!$C$16, $D$11, 100%, $F$11)</f>
        <v>31.4999</v>
      </c>
      <c r="C936" s="8">
        <f>CHOOSE( CONTROL!$C$33, 31.5079, 31.5063) * CHOOSE(CONTROL!$C$16, $D$11, 100%, $F$11)</f>
        <v>31.507899999999999</v>
      </c>
      <c r="D936" s="8">
        <f>CHOOSE( CONTROL!$C$33, 31.5268, 31.5251) * CHOOSE( CONTROL!$C$16, $D$11, 100%, $F$11)</f>
        <v>31.526800000000001</v>
      </c>
      <c r="E936" s="12">
        <f>CHOOSE( CONTROL!$C$33, 31.5187, 31.5171) * CHOOSE( CONTROL!$C$16, $D$11, 100%, $F$11)</f>
        <v>31.518699999999999</v>
      </c>
      <c r="F936" s="4">
        <f>CHOOSE( CONTROL!$C$33, 32.2275, 32.2258) * CHOOSE(CONTROL!$C$16, $D$11, 100%, $F$11)</f>
        <v>32.227499999999999</v>
      </c>
      <c r="G936" s="8">
        <f>CHOOSE( CONTROL!$C$33, 31.1602, 31.1586) * CHOOSE( CONTROL!$C$16, $D$11, 100%, $F$11)</f>
        <v>31.1602</v>
      </c>
      <c r="H936" s="4">
        <f>CHOOSE( CONTROL!$C$33, 32.0967, 32.0951) * CHOOSE(CONTROL!$C$16, $D$11, 100%, $F$11)</f>
        <v>32.096699999999998</v>
      </c>
      <c r="I936" s="8">
        <f>CHOOSE( CONTROL!$C$33, 30.701, 30.6994) * CHOOSE(CONTROL!$C$16, $D$11, 100%, $F$11)</f>
        <v>30.701000000000001</v>
      </c>
      <c r="J936" s="4">
        <f>CHOOSE( CONTROL!$C$33, 30.5599, 30.5583) * CHOOSE(CONTROL!$C$16, $D$11, 100%, $F$11)</f>
        <v>30.559899999999999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1.2927</v>
      </c>
      <c r="Q936" s="9">
        <v>19.688099999999999</v>
      </c>
      <c r="R936" s="9"/>
      <c r="S936" s="11"/>
    </row>
    <row r="937" spans="1:19" ht="15.75">
      <c r="A937" s="13">
        <v>69671</v>
      </c>
      <c r="B937" s="8">
        <f>CHOOSE( CONTROL!$C$33, 30.8404, 30.8387) * CHOOSE(CONTROL!$C$16, $D$11, 100%, $F$11)</f>
        <v>30.840399999999999</v>
      </c>
      <c r="C937" s="8">
        <f>CHOOSE( CONTROL!$C$33, 30.8484, 30.8467) * CHOOSE(CONTROL!$C$16, $D$11, 100%, $F$11)</f>
        <v>30.848400000000002</v>
      </c>
      <c r="D937" s="8">
        <f>CHOOSE( CONTROL!$C$33, 30.8671, 30.8655) * CHOOSE( CONTROL!$C$16, $D$11, 100%, $F$11)</f>
        <v>30.867100000000001</v>
      </c>
      <c r="E937" s="12">
        <f>CHOOSE( CONTROL!$C$33, 30.8591, 30.8575) * CHOOSE( CONTROL!$C$16, $D$11, 100%, $F$11)</f>
        <v>30.859100000000002</v>
      </c>
      <c r="F937" s="4">
        <f>CHOOSE( CONTROL!$C$33, 31.5679, 31.5663) * CHOOSE(CONTROL!$C$16, $D$11, 100%, $F$11)</f>
        <v>31.567900000000002</v>
      </c>
      <c r="G937" s="8">
        <f>CHOOSE( CONTROL!$C$33, 30.5083, 30.5067) * CHOOSE( CONTROL!$C$16, $D$11, 100%, $F$11)</f>
        <v>30.508299999999998</v>
      </c>
      <c r="H937" s="4">
        <f>CHOOSE( CONTROL!$C$33, 31.4449, 31.4433) * CHOOSE(CONTROL!$C$16, $D$11, 100%, $F$11)</f>
        <v>31.444900000000001</v>
      </c>
      <c r="I937" s="8">
        <f>CHOOSE( CONTROL!$C$33, 30.0602, 30.0586) * CHOOSE(CONTROL!$C$16, $D$11, 100%, $F$11)</f>
        <v>30.060199999999998</v>
      </c>
      <c r="J937" s="4">
        <f>CHOOSE( CONTROL!$C$33, 29.9198, 29.9182) * CHOOSE(CONTROL!$C$16, $D$11, 100%, $F$11)</f>
        <v>29.919799999999999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1.2509999999999999</v>
      </c>
      <c r="Q937" s="9">
        <v>19.053000000000001</v>
      </c>
      <c r="R937" s="9"/>
      <c r="S937" s="11"/>
    </row>
    <row r="938" spans="1:19" ht="15.75">
      <c r="A938" s="13">
        <v>69702</v>
      </c>
      <c r="B938" s="8">
        <f>CHOOSE( CONTROL!$C$33, 32.2076, 32.2065) * CHOOSE(CONTROL!$C$16, $D$11, 100%, $F$11)</f>
        <v>32.207599999999999</v>
      </c>
      <c r="C938" s="8">
        <f>CHOOSE( CONTROL!$C$33, 32.2129, 32.2118) * CHOOSE(CONTROL!$C$16, $D$11, 100%, $F$11)</f>
        <v>32.212899999999998</v>
      </c>
      <c r="D938" s="8">
        <f>CHOOSE( CONTROL!$C$33, 32.2373, 32.2362) * CHOOSE( CONTROL!$C$16, $D$11, 100%, $F$11)</f>
        <v>32.237299999999998</v>
      </c>
      <c r="E938" s="12">
        <f>CHOOSE( CONTROL!$C$33, 32.2287, 32.2276) * CHOOSE( CONTROL!$C$16, $D$11, 100%, $F$11)</f>
        <v>32.228700000000003</v>
      </c>
      <c r="F938" s="4">
        <f>CHOOSE( CONTROL!$C$33, 32.9368, 32.9358) * CHOOSE(CONTROL!$C$16, $D$11, 100%, $F$11)</f>
        <v>32.936799999999998</v>
      </c>
      <c r="G938" s="8">
        <f>CHOOSE( CONTROL!$C$33, 31.8613, 31.8603) * CHOOSE( CONTROL!$C$16, $D$11, 100%, $F$11)</f>
        <v>31.8613</v>
      </c>
      <c r="H938" s="4">
        <f>CHOOSE( CONTROL!$C$33, 32.7978, 32.7967) * CHOOSE(CONTROL!$C$16, $D$11, 100%, $F$11)</f>
        <v>32.797800000000002</v>
      </c>
      <c r="I938" s="8">
        <f>CHOOSE( CONTROL!$C$33, 31.3902, 31.3892) * CHOOSE(CONTROL!$C$16, $D$11, 100%, $F$11)</f>
        <v>31.3902</v>
      </c>
      <c r="J938" s="4">
        <f>CHOOSE( CONTROL!$C$33, 31.2483, 31.2472) * CHOOSE(CONTROL!$C$16, $D$11, 100%, $F$11)</f>
        <v>31.2483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1.2927</v>
      </c>
      <c r="Q938" s="9">
        <v>19.688099999999999</v>
      </c>
      <c r="R938" s="9"/>
      <c r="S938" s="11"/>
    </row>
    <row r="939" spans="1:19" ht="15.75">
      <c r="A939" s="13">
        <v>69732</v>
      </c>
      <c r="B939" s="8">
        <f>CHOOSE( CONTROL!$C$33, 34.7349, 34.7338) * CHOOSE(CONTROL!$C$16, $D$11, 100%, $F$11)</f>
        <v>34.734900000000003</v>
      </c>
      <c r="C939" s="8">
        <f>CHOOSE( CONTROL!$C$33, 34.74, 34.7389) * CHOOSE(CONTROL!$C$16, $D$11, 100%, $F$11)</f>
        <v>34.74</v>
      </c>
      <c r="D939" s="8">
        <f>CHOOSE( CONTROL!$C$33, 34.7304, 34.7293) * CHOOSE( CONTROL!$C$16, $D$11, 100%, $F$11)</f>
        <v>34.730400000000003</v>
      </c>
      <c r="E939" s="12">
        <f>CHOOSE( CONTROL!$C$33, 34.7334, 34.7323) * CHOOSE( CONTROL!$C$16, $D$11, 100%, $F$11)</f>
        <v>34.733400000000003</v>
      </c>
      <c r="F939" s="4">
        <f>CHOOSE( CONTROL!$C$33, 35.395, 35.394) * CHOOSE(CONTROL!$C$16, $D$11, 100%, $F$11)</f>
        <v>35.395000000000003</v>
      </c>
      <c r="G939" s="8">
        <f>CHOOSE( CONTROL!$C$33, 34.3461, 34.345) * CHOOSE( CONTROL!$C$16, $D$11, 100%, $F$11)</f>
        <v>34.3461</v>
      </c>
      <c r="H939" s="4">
        <f>CHOOSE( CONTROL!$C$33, 35.2272, 35.2261) * CHOOSE(CONTROL!$C$16, $D$11, 100%, $F$11)</f>
        <v>35.227200000000003</v>
      </c>
      <c r="I939" s="8">
        <f>CHOOSE( CONTROL!$C$33, 33.904, 33.903) * CHOOSE(CONTROL!$C$16, $D$11, 100%, $F$11)</f>
        <v>33.904000000000003</v>
      </c>
      <c r="J939" s="4">
        <f>CHOOSE( CONTROL!$C$33, 33.7015, 33.7004) * CHOOSE(CONTROL!$C$16, $D$11, 100%, $F$11)</f>
        <v>33.701500000000003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69763</v>
      </c>
      <c r="B940" s="8">
        <f>CHOOSE( CONTROL!$C$33, 34.6718, 34.6707) * CHOOSE(CONTROL!$C$16, $D$11, 100%, $F$11)</f>
        <v>34.671799999999998</v>
      </c>
      <c r="C940" s="8">
        <f>CHOOSE( CONTROL!$C$33, 34.6768, 34.6758) * CHOOSE(CONTROL!$C$16, $D$11, 100%, $F$11)</f>
        <v>34.6768</v>
      </c>
      <c r="D940" s="8">
        <f>CHOOSE( CONTROL!$C$33, 34.6687, 34.6676) * CHOOSE( CONTROL!$C$16, $D$11, 100%, $F$11)</f>
        <v>34.668700000000001</v>
      </c>
      <c r="E940" s="12">
        <f>CHOOSE( CONTROL!$C$33, 34.6711, 34.6701) * CHOOSE( CONTROL!$C$16, $D$11, 100%, $F$11)</f>
        <v>34.671100000000003</v>
      </c>
      <c r="F940" s="4">
        <f>CHOOSE( CONTROL!$C$33, 35.3319, 35.3308) * CHOOSE(CONTROL!$C$16, $D$11, 100%, $F$11)</f>
        <v>35.331899999999997</v>
      </c>
      <c r="G940" s="8">
        <f>CHOOSE( CONTROL!$C$33, 34.2847, 34.2836) * CHOOSE( CONTROL!$C$16, $D$11, 100%, $F$11)</f>
        <v>34.284700000000001</v>
      </c>
      <c r="H940" s="4">
        <f>CHOOSE( CONTROL!$C$33, 35.1648, 35.1637) * CHOOSE(CONTROL!$C$16, $D$11, 100%, $F$11)</f>
        <v>35.1648</v>
      </c>
      <c r="I940" s="8">
        <f>CHOOSE( CONTROL!$C$33, 33.8471, 33.8461) * CHOOSE(CONTROL!$C$16, $D$11, 100%, $F$11)</f>
        <v>33.847099999999998</v>
      </c>
      <c r="J940" s="4">
        <f>CHOOSE( CONTROL!$C$33, 33.6402, 33.6391) * CHOOSE(CONTROL!$C$16, $D$11, 100%, $F$11)</f>
        <v>33.6402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69794</v>
      </c>
      <c r="B941" s="8">
        <f>CHOOSE( CONTROL!$C$33, 35.6942, 35.6931) * CHOOSE(CONTROL!$C$16, $D$11, 100%, $F$11)</f>
        <v>35.694200000000002</v>
      </c>
      <c r="C941" s="8">
        <f>CHOOSE( CONTROL!$C$33, 35.6992, 35.6982) * CHOOSE(CONTROL!$C$16, $D$11, 100%, $F$11)</f>
        <v>35.699199999999998</v>
      </c>
      <c r="D941" s="8">
        <f>CHOOSE( CONTROL!$C$33, 35.7019, 35.7008) * CHOOSE( CONTROL!$C$16, $D$11, 100%, $F$11)</f>
        <v>35.701900000000002</v>
      </c>
      <c r="E941" s="12">
        <f>CHOOSE( CONTROL!$C$33, 35.7004, 35.6993) * CHOOSE( CONTROL!$C$16, $D$11, 100%, $F$11)</f>
        <v>35.700400000000002</v>
      </c>
      <c r="F941" s="4">
        <f>CHOOSE( CONTROL!$C$33, 36.3543, 36.3532) * CHOOSE(CONTROL!$C$16, $D$11, 100%, $F$11)</f>
        <v>36.354300000000002</v>
      </c>
      <c r="G941" s="8">
        <f>CHOOSE( CONTROL!$C$33, 35.2979, 35.2969) * CHOOSE( CONTROL!$C$16, $D$11, 100%, $F$11)</f>
        <v>35.297899999999998</v>
      </c>
      <c r="H941" s="4">
        <f>CHOOSE( CONTROL!$C$33, 36.1752, 36.1741) * CHOOSE(CONTROL!$C$16, $D$11, 100%, $F$11)</f>
        <v>36.175199999999997</v>
      </c>
      <c r="I941" s="8">
        <f>CHOOSE( CONTROL!$C$33, 34.8114, 34.8103) * CHOOSE(CONTROL!$C$16, $D$11, 100%, $F$11)</f>
        <v>34.811399999999999</v>
      </c>
      <c r="J941" s="4">
        <f>CHOOSE( CONTROL!$C$33, 34.6324, 34.6314) * CHOOSE(CONTROL!$C$16, $D$11, 100%, $F$11)</f>
        <v>34.632399999999997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69822</v>
      </c>
      <c r="B942" s="8">
        <f>CHOOSE( CONTROL!$C$33, 33.3873, 33.3862) * CHOOSE(CONTROL!$C$16, $D$11, 100%, $F$11)</f>
        <v>33.387300000000003</v>
      </c>
      <c r="C942" s="8">
        <f>CHOOSE( CONTROL!$C$33, 33.3923, 33.3912) * CHOOSE(CONTROL!$C$16, $D$11, 100%, $F$11)</f>
        <v>33.392299999999999</v>
      </c>
      <c r="D942" s="8">
        <f>CHOOSE( CONTROL!$C$33, 33.3949, 33.3938) * CHOOSE( CONTROL!$C$16, $D$11, 100%, $F$11)</f>
        <v>33.3949</v>
      </c>
      <c r="E942" s="12">
        <f>CHOOSE( CONTROL!$C$33, 33.3934, 33.3923) * CHOOSE( CONTROL!$C$16, $D$11, 100%, $F$11)</f>
        <v>33.3934</v>
      </c>
      <c r="F942" s="4">
        <f>CHOOSE( CONTROL!$C$33, 34.0474, 34.0463) * CHOOSE(CONTROL!$C$16, $D$11, 100%, $F$11)</f>
        <v>34.047400000000003</v>
      </c>
      <c r="G942" s="8">
        <f>CHOOSE( CONTROL!$C$33, 33.018, 33.0169) * CHOOSE( CONTROL!$C$16, $D$11, 100%, $F$11)</f>
        <v>33.018000000000001</v>
      </c>
      <c r="H942" s="4">
        <f>CHOOSE( CONTROL!$C$33, 33.8953, 33.8942) * CHOOSE(CONTROL!$C$16, $D$11, 100%, $F$11)</f>
        <v>33.895299999999999</v>
      </c>
      <c r="I942" s="8">
        <f>CHOOSE( CONTROL!$C$33, 32.5711, 32.5701) * CHOOSE(CONTROL!$C$16, $D$11, 100%, $F$11)</f>
        <v>32.571100000000001</v>
      </c>
      <c r="J942" s="4">
        <f>CHOOSE( CONTROL!$C$33, 32.3936, 32.3925) * CHOOSE(CONTROL!$C$16, $D$11, 100%, $F$11)</f>
        <v>32.393599999999999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69853</v>
      </c>
      <c r="B943" s="8">
        <f>CHOOSE( CONTROL!$C$33, 32.6767, 32.6757) * CHOOSE(CONTROL!$C$16, $D$11, 100%, $F$11)</f>
        <v>32.676699999999997</v>
      </c>
      <c r="C943" s="8">
        <f>CHOOSE( CONTROL!$C$33, 32.6818, 32.6807) * CHOOSE(CONTROL!$C$16, $D$11, 100%, $F$11)</f>
        <v>32.681800000000003</v>
      </c>
      <c r="D943" s="8">
        <f>CHOOSE( CONTROL!$C$33, 32.6837, 32.6826) * CHOOSE( CONTROL!$C$16, $D$11, 100%, $F$11)</f>
        <v>32.683700000000002</v>
      </c>
      <c r="E943" s="12">
        <f>CHOOSE( CONTROL!$C$33, 32.6825, 32.6814) * CHOOSE( CONTROL!$C$16, $D$11, 100%, $F$11)</f>
        <v>32.682499999999997</v>
      </c>
      <c r="F943" s="4">
        <f>CHOOSE( CONTROL!$C$33, 33.3369, 33.3358) * CHOOSE(CONTROL!$C$16, $D$11, 100%, $F$11)</f>
        <v>33.3369</v>
      </c>
      <c r="G943" s="8">
        <f>CHOOSE( CONTROL!$C$33, 32.3153, 32.3142) * CHOOSE( CONTROL!$C$16, $D$11, 100%, $F$11)</f>
        <v>32.315300000000001</v>
      </c>
      <c r="H943" s="4">
        <f>CHOOSE( CONTROL!$C$33, 33.1931, 33.192) * CHOOSE(CONTROL!$C$16, $D$11, 100%, $F$11)</f>
        <v>33.193100000000001</v>
      </c>
      <c r="I943" s="8">
        <f>CHOOSE( CONTROL!$C$33, 31.8791, 31.878) * CHOOSE(CONTROL!$C$16, $D$11, 100%, $F$11)</f>
        <v>31.879100000000001</v>
      </c>
      <c r="J943" s="4">
        <f>CHOOSE( CONTROL!$C$33, 31.704, 31.703) * CHOOSE(CONTROL!$C$16, $D$11, 100%, $F$11)</f>
        <v>31.704000000000001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69883</v>
      </c>
      <c r="B944" s="8">
        <f>CHOOSE( CONTROL!$C$33, 33.174, 33.1729) * CHOOSE(CONTROL!$C$16, $D$11, 100%, $F$11)</f>
        <v>33.173999999999999</v>
      </c>
      <c r="C944" s="8">
        <f>CHOOSE( CONTROL!$C$33, 33.1785, 33.1774) * CHOOSE(CONTROL!$C$16, $D$11, 100%, $F$11)</f>
        <v>33.1785</v>
      </c>
      <c r="D944" s="8">
        <f>CHOOSE( CONTROL!$C$33, 33.2029, 33.2018) * CHOOSE( CONTROL!$C$16, $D$11, 100%, $F$11)</f>
        <v>33.2029</v>
      </c>
      <c r="E944" s="12">
        <f>CHOOSE( CONTROL!$C$33, 33.1943, 33.1932) * CHOOSE( CONTROL!$C$16, $D$11, 100%, $F$11)</f>
        <v>33.194299999999998</v>
      </c>
      <c r="F944" s="4">
        <f>CHOOSE( CONTROL!$C$33, 33.9029, 33.9018) * CHOOSE(CONTROL!$C$16, $D$11, 100%, $F$11)</f>
        <v>33.902900000000002</v>
      </c>
      <c r="G944" s="8">
        <f>CHOOSE( CONTROL!$C$33, 32.8157, 32.8146) * CHOOSE( CONTROL!$C$16, $D$11, 100%, $F$11)</f>
        <v>32.8157</v>
      </c>
      <c r="H944" s="4">
        <f>CHOOSE( CONTROL!$C$33, 33.7525, 33.7515) * CHOOSE(CONTROL!$C$16, $D$11, 100%, $F$11)</f>
        <v>33.752499999999998</v>
      </c>
      <c r="I944" s="8">
        <f>CHOOSE( CONTROL!$C$33, 32.3264, 32.3254) * CHOOSE(CONTROL!$C$16, $D$11, 100%, $F$11)</f>
        <v>32.3264</v>
      </c>
      <c r="J944" s="4">
        <f>CHOOSE( CONTROL!$C$33, 32.1859, 32.1848) * CHOOSE(CONTROL!$C$16, $D$11, 100%, $F$11)</f>
        <v>32.185899999999997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1.2509999999999999</v>
      </c>
      <c r="Q944" s="9">
        <v>19.053000000000001</v>
      </c>
      <c r="R944" s="9"/>
      <c r="S944" s="11"/>
    </row>
    <row r="945" spans="1:19" ht="15.75">
      <c r="A945" s="13">
        <v>69914</v>
      </c>
      <c r="B945" s="8">
        <f>CHOOSE( CONTROL!$C$33, 34.0596, 34.0579) * CHOOSE(CONTROL!$C$16, $D$11, 100%, $F$11)</f>
        <v>34.059600000000003</v>
      </c>
      <c r="C945" s="8">
        <f>CHOOSE( CONTROL!$C$33, 34.0676, 34.0659) * CHOOSE(CONTROL!$C$16, $D$11, 100%, $F$11)</f>
        <v>34.067599999999999</v>
      </c>
      <c r="D945" s="8">
        <f>CHOOSE( CONTROL!$C$33, 34.0859, 34.0842) * CHOOSE( CONTROL!$C$16, $D$11, 100%, $F$11)</f>
        <v>34.085900000000002</v>
      </c>
      <c r="E945" s="12">
        <f>CHOOSE( CONTROL!$C$33, 34.078, 34.0763) * CHOOSE( CONTROL!$C$16, $D$11, 100%, $F$11)</f>
        <v>34.078000000000003</v>
      </c>
      <c r="F945" s="4">
        <f>CHOOSE( CONTROL!$C$33, 34.7871, 34.7855) * CHOOSE(CONTROL!$C$16, $D$11, 100%, $F$11)</f>
        <v>34.787100000000002</v>
      </c>
      <c r="G945" s="8">
        <f>CHOOSE( CONTROL!$C$33, 33.6894, 33.6878) * CHOOSE( CONTROL!$C$16, $D$11, 100%, $F$11)</f>
        <v>33.689399999999999</v>
      </c>
      <c r="H945" s="4">
        <f>CHOOSE( CONTROL!$C$33, 34.6264, 34.6248) * CHOOSE(CONTROL!$C$16, $D$11, 100%, $F$11)</f>
        <v>34.626399999999997</v>
      </c>
      <c r="I945" s="8">
        <f>CHOOSE( CONTROL!$C$33, 33.1844, 33.1828) * CHOOSE(CONTROL!$C$16, $D$11, 100%, $F$11)</f>
        <v>33.184399999999997</v>
      </c>
      <c r="J945" s="4">
        <f>CHOOSE( CONTROL!$C$33, 33.044, 33.0424) * CHOOSE(CONTROL!$C$16, $D$11, 100%, $F$11)</f>
        <v>33.043999999999997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1.2927</v>
      </c>
      <c r="Q945" s="9">
        <v>19.688099999999999</v>
      </c>
      <c r="R945" s="9"/>
      <c r="S945" s="11"/>
    </row>
    <row r="946" spans="1:19" ht="15.75">
      <c r="A946" s="13">
        <v>69944</v>
      </c>
      <c r="B946" s="8">
        <f>CHOOSE( CONTROL!$C$33, 33.5122, 33.5105) * CHOOSE(CONTROL!$C$16, $D$11, 100%, $F$11)</f>
        <v>33.5122</v>
      </c>
      <c r="C946" s="8">
        <f>CHOOSE( CONTROL!$C$33, 33.5202, 33.5185) * CHOOSE(CONTROL!$C$16, $D$11, 100%, $F$11)</f>
        <v>33.520200000000003</v>
      </c>
      <c r="D946" s="8">
        <f>CHOOSE( CONTROL!$C$33, 33.5387, 33.5371) * CHOOSE( CONTROL!$C$16, $D$11, 100%, $F$11)</f>
        <v>33.538699999999999</v>
      </c>
      <c r="E946" s="12">
        <f>CHOOSE( CONTROL!$C$33, 33.5308, 33.5291) * CHOOSE( CONTROL!$C$16, $D$11, 100%, $F$11)</f>
        <v>33.530799999999999</v>
      </c>
      <c r="F946" s="4">
        <f>CHOOSE( CONTROL!$C$33, 34.2397, 34.2381) * CHOOSE(CONTROL!$C$16, $D$11, 100%, $F$11)</f>
        <v>34.239699999999999</v>
      </c>
      <c r="G946" s="8">
        <f>CHOOSE( CONTROL!$C$33, 33.1486, 33.147) * CHOOSE( CONTROL!$C$16, $D$11, 100%, $F$11)</f>
        <v>33.148600000000002</v>
      </c>
      <c r="H946" s="4">
        <f>CHOOSE( CONTROL!$C$33, 34.0854, 34.0838) * CHOOSE(CONTROL!$C$16, $D$11, 100%, $F$11)</f>
        <v>34.0854</v>
      </c>
      <c r="I946" s="8">
        <f>CHOOSE( CONTROL!$C$33, 32.6537, 32.6521) * CHOOSE(CONTROL!$C$16, $D$11, 100%, $F$11)</f>
        <v>32.653700000000001</v>
      </c>
      <c r="J946" s="4">
        <f>CHOOSE( CONTROL!$C$33, 32.5128, 32.5112) * CHOOSE(CONTROL!$C$16, $D$11, 100%, $F$11)</f>
        <v>32.512799999999999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1.2509999999999999</v>
      </c>
      <c r="Q946" s="9">
        <v>19.053000000000001</v>
      </c>
      <c r="R946" s="9"/>
      <c r="S946" s="11"/>
    </row>
    <row r="947" spans="1:19" ht="15.75">
      <c r="A947" s="13">
        <v>69975</v>
      </c>
      <c r="B947" s="8">
        <f>CHOOSE( CONTROL!$C$33, 34.9537, 34.952) * CHOOSE(CONTROL!$C$16, $D$11, 100%, $F$11)</f>
        <v>34.953699999999998</v>
      </c>
      <c r="C947" s="8">
        <f>CHOOSE( CONTROL!$C$33, 34.9617, 34.96) * CHOOSE(CONTROL!$C$16, $D$11, 100%, $F$11)</f>
        <v>34.9617</v>
      </c>
      <c r="D947" s="8">
        <f>CHOOSE( CONTROL!$C$33, 34.9805, 34.9788) * CHOOSE( CONTROL!$C$16, $D$11, 100%, $F$11)</f>
        <v>34.980499999999999</v>
      </c>
      <c r="E947" s="12">
        <f>CHOOSE( CONTROL!$C$33, 34.9725, 34.9708) * CHOOSE( CONTROL!$C$16, $D$11, 100%, $F$11)</f>
        <v>34.972499999999997</v>
      </c>
      <c r="F947" s="4">
        <f>CHOOSE( CONTROL!$C$33, 35.6812, 35.6796) * CHOOSE(CONTROL!$C$16, $D$11, 100%, $F$11)</f>
        <v>35.681199999999997</v>
      </c>
      <c r="G947" s="8">
        <f>CHOOSE( CONTROL!$C$33, 34.5734, 34.5718) * CHOOSE( CONTROL!$C$16, $D$11, 100%, $F$11)</f>
        <v>34.573399999999999</v>
      </c>
      <c r="H947" s="4">
        <f>CHOOSE( CONTROL!$C$33, 35.51, 35.5084) * CHOOSE(CONTROL!$C$16, $D$11, 100%, $F$11)</f>
        <v>35.51</v>
      </c>
      <c r="I947" s="8">
        <f>CHOOSE( CONTROL!$C$33, 34.0542, 34.0526) * CHOOSE(CONTROL!$C$16, $D$11, 100%, $F$11)</f>
        <v>34.054200000000002</v>
      </c>
      <c r="J947" s="4">
        <f>CHOOSE( CONTROL!$C$33, 33.9117, 33.9101) * CHOOSE(CONTROL!$C$16, $D$11, 100%, $F$11)</f>
        <v>33.911700000000003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1.2927</v>
      </c>
      <c r="Q947" s="9">
        <v>19.688099999999999</v>
      </c>
      <c r="R947" s="9"/>
      <c r="S947" s="11"/>
    </row>
    <row r="948" spans="1:19" ht="15.75">
      <c r="A948" s="13">
        <v>70006</v>
      </c>
      <c r="B948" s="8">
        <f>CHOOSE( CONTROL!$C$33, 32.2565, 32.2548) * CHOOSE(CONTROL!$C$16, $D$11, 100%, $F$11)</f>
        <v>32.256500000000003</v>
      </c>
      <c r="C948" s="8">
        <f>CHOOSE( CONTROL!$C$33, 32.2645, 32.2628) * CHOOSE(CONTROL!$C$16, $D$11, 100%, $F$11)</f>
        <v>32.264499999999998</v>
      </c>
      <c r="D948" s="8">
        <f>CHOOSE( CONTROL!$C$33, 32.2833, 32.2817) * CHOOSE( CONTROL!$C$16, $D$11, 100%, $F$11)</f>
        <v>32.283299999999997</v>
      </c>
      <c r="E948" s="12">
        <f>CHOOSE( CONTROL!$C$33, 32.2753, 32.2736) * CHOOSE( CONTROL!$C$16, $D$11, 100%, $F$11)</f>
        <v>32.275300000000001</v>
      </c>
      <c r="F948" s="4">
        <f>CHOOSE( CONTROL!$C$33, 32.9841, 32.9824) * CHOOSE(CONTROL!$C$16, $D$11, 100%, $F$11)</f>
        <v>32.984099999999998</v>
      </c>
      <c r="G948" s="8">
        <f>CHOOSE( CONTROL!$C$33, 31.9079, 31.9063) * CHOOSE( CONTROL!$C$16, $D$11, 100%, $F$11)</f>
        <v>31.907900000000001</v>
      </c>
      <c r="H948" s="4">
        <f>CHOOSE( CONTROL!$C$33, 32.8444, 32.8428) * CHOOSE(CONTROL!$C$16, $D$11, 100%, $F$11)</f>
        <v>32.8444</v>
      </c>
      <c r="I948" s="8">
        <f>CHOOSE( CONTROL!$C$33, 31.4356, 31.434) * CHOOSE(CONTROL!$C$16, $D$11, 100%, $F$11)</f>
        <v>31.435600000000001</v>
      </c>
      <c r="J948" s="4">
        <f>CHOOSE( CONTROL!$C$33, 31.2941, 31.2925) * CHOOSE(CONTROL!$C$16, $D$11, 100%, $F$11)</f>
        <v>31.2941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1.2927</v>
      </c>
      <c r="Q948" s="9">
        <v>19.688099999999999</v>
      </c>
      <c r="R948" s="9"/>
      <c r="S948" s="11"/>
    </row>
    <row r="949" spans="1:19" ht="15.75">
      <c r="A949" s="13">
        <v>70036</v>
      </c>
      <c r="B949" s="8">
        <f>CHOOSE( CONTROL!$C$33, 31.5811, 31.5794) * CHOOSE(CONTROL!$C$16, $D$11, 100%, $F$11)</f>
        <v>31.581099999999999</v>
      </c>
      <c r="C949" s="8">
        <f>CHOOSE( CONTROL!$C$33, 31.5891, 31.5874) * CHOOSE(CONTROL!$C$16, $D$11, 100%, $F$11)</f>
        <v>31.589099999999998</v>
      </c>
      <c r="D949" s="8">
        <f>CHOOSE( CONTROL!$C$33, 31.6078, 31.6062) * CHOOSE( CONTROL!$C$16, $D$11, 100%, $F$11)</f>
        <v>31.607800000000001</v>
      </c>
      <c r="E949" s="12">
        <f>CHOOSE( CONTROL!$C$33, 31.5998, 31.5982) * CHOOSE( CONTROL!$C$16, $D$11, 100%, $F$11)</f>
        <v>31.599799999999998</v>
      </c>
      <c r="F949" s="4">
        <f>CHOOSE( CONTROL!$C$33, 32.3086, 32.307) * CHOOSE(CONTROL!$C$16, $D$11, 100%, $F$11)</f>
        <v>32.308599999999998</v>
      </c>
      <c r="G949" s="8">
        <f>CHOOSE( CONTROL!$C$33, 31.2403, 31.2387) * CHOOSE( CONTROL!$C$16, $D$11, 100%, $F$11)</f>
        <v>31.240300000000001</v>
      </c>
      <c r="H949" s="4">
        <f>CHOOSE( CONTROL!$C$33, 32.1769, 32.1753) * CHOOSE(CONTROL!$C$16, $D$11, 100%, $F$11)</f>
        <v>32.176900000000003</v>
      </c>
      <c r="I949" s="8">
        <f>CHOOSE( CONTROL!$C$33, 30.7794, 30.7778) * CHOOSE(CONTROL!$C$16, $D$11, 100%, $F$11)</f>
        <v>30.779399999999999</v>
      </c>
      <c r="J949" s="4">
        <f>CHOOSE( CONTROL!$C$33, 30.6386, 30.637) * CHOOSE(CONTROL!$C$16, $D$11, 100%, $F$11)</f>
        <v>30.6386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1.2509999999999999</v>
      </c>
      <c r="Q949" s="9">
        <v>19.053000000000001</v>
      </c>
      <c r="R949" s="9"/>
      <c r="S949" s="11"/>
    </row>
    <row r="950" spans="1:19" ht="15.75">
      <c r="A950" s="13">
        <v>70067</v>
      </c>
      <c r="B950" s="8">
        <f>CHOOSE( CONTROL!$C$33, 32.9812, 32.9801) * CHOOSE(CONTROL!$C$16, $D$11, 100%, $F$11)</f>
        <v>32.981200000000001</v>
      </c>
      <c r="C950" s="8">
        <f>CHOOSE( CONTROL!$C$33, 32.9865, 32.9854) * CHOOSE(CONTROL!$C$16, $D$11, 100%, $F$11)</f>
        <v>32.986499999999999</v>
      </c>
      <c r="D950" s="8">
        <f>CHOOSE( CONTROL!$C$33, 33.0109, 33.0098) * CHOOSE( CONTROL!$C$16, $D$11, 100%, $F$11)</f>
        <v>33.010899999999999</v>
      </c>
      <c r="E950" s="12">
        <f>CHOOSE( CONTROL!$C$33, 33.0023, 33.0012) * CHOOSE( CONTROL!$C$16, $D$11, 100%, $F$11)</f>
        <v>33.002299999999998</v>
      </c>
      <c r="F950" s="4">
        <f>CHOOSE( CONTROL!$C$33, 33.7104, 33.7094) * CHOOSE(CONTROL!$C$16, $D$11, 100%, $F$11)</f>
        <v>33.7104</v>
      </c>
      <c r="G950" s="8">
        <f>CHOOSE( CONTROL!$C$33, 32.6259, 32.6248) * CHOOSE( CONTROL!$C$16, $D$11, 100%, $F$11)</f>
        <v>32.625900000000001</v>
      </c>
      <c r="H950" s="4">
        <f>CHOOSE( CONTROL!$C$33, 33.5623, 33.5612) * CHOOSE(CONTROL!$C$16, $D$11, 100%, $F$11)</f>
        <v>33.5623</v>
      </c>
      <c r="I950" s="8">
        <f>CHOOSE( CONTROL!$C$33, 32.1414, 32.1404) * CHOOSE(CONTROL!$C$16, $D$11, 100%, $F$11)</f>
        <v>32.141399999999997</v>
      </c>
      <c r="J950" s="4">
        <f>CHOOSE( CONTROL!$C$33, 31.9991, 31.998) * CHOOSE(CONTROL!$C$16, $D$11, 100%, $F$11)</f>
        <v>31.999099999999999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1.2927</v>
      </c>
      <c r="Q950" s="9">
        <v>19.688099999999999</v>
      </c>
      <c r="R950" s="9"/>
      <c r="S950" s="11"/>
    </row>
    <row r="951" spans="1:19" ht="15.75">
      <c r="A951" s="13">
        <v>70097</v>
      </c>
      <c r="B951" s="8">
        <f>CHOOSE( CONTROL!$C$33, 35.5693, 35.5682) * CHOOSE(CONTROL!$C$16, $D$11, 100%, $F$11)</f>
        <v>35.569299999999998</v>
      </c>
      <c r="C951" s="8">
        <f>CHOOSE( CONTROL!$C$33, 35.5743, 35.5733) * CHOOSE(CONTROL!$C$16, $D$11, 100%, $F$11)</f>
        <v>35.574300000000001</v>
      </c>
      <c r="D951" s="8">
        <f>CHOOSE( CONTROL!$C$33, 35.5647, 35.5637) * CHOOSE( CONTROL!$C$16, $D$11, 100%, $F$11)</f>
        <v>35.564700000000002</v>
      </c>
      <c r="E951" s="12">
        <f>CHOOSE( CONTROL!$C$33, 35.5677, 35.5667) * CHOOSE( CONTROL!$C$16, $D$11, 100%, $F$11)</f>
        <v>35.567700000000002</v>
      </c>
      <c r="F951" s="4">
        <f>CHOOSE( CONTROL!$C$33, 36.2294, 36.2283) * CHOOSE(CONTROL!$C$16, $D$11, 100%, $F$11)</f>
        <v>36.229399999999998</v>
      </c>
      <c r="G951" s="8">
        <f>CHOOSE( CONTROL!$C$33, 35.1706, 35.1696) * CHOOSE( CONTROL!$C$16, $D$11, 100%, $F$11)</f>
        <v>35.1706</v>
      </c>
      <c r="H951" s="4">
        <f>CHOOSE( CONTROL!$C$33, 36.0518, 36.0507) * CHOOSE(CONTROL!$C$16, $D$11, 100%, $F$11)</f>
        <v>36.0518</v>
      </c>
      <c r="I951" s="8">
        <f>CHOOSE( CONTROL!$C$33, 34.7142, 34.7131) * CHOOSE(CONTROL!$C$16, $D$11, 100%, $F$11)</f>
        <v>34.714199999999998</v>
      </c>
      <c r="J951" s="4">
        <f>CHOOSE( CONTROL!$C$33, 34.5112, 34.5102) * CHOOSE(CONTROL!$C$16, $D$11, 100%, $F$11)</f>
        <v>34.511200000000002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70128</v>
      </c>
      <c r="B952" s="8">
        <f>CHOOSE( CONTROL!$C$33, 35.5046, 35.5035) * CHOOSE(CONTROL!$C$16, $D$11, 100%, $F$11)</f>
        <v>35.504600000000003</v>
      </c>
      <c r="C952" s="8">
        <f>CHOOSE( CONTROL!$C$33, 35.5097, 35.5086) * CHOOSE(CONTROL!$C$16, $D$11, 100%, $F$11)</f>
        <v>35.509700000000002</v>
      </c>
      <c r="D952" s="8">
        <f>CHOOSE( CONTROL!$C$33, 35.5015, 35.5004) * CHOOSE( CONTROL!$C$16, $D$11, 100%, $F$11)</f>
        <v>35.5015</v>
      </c>
      <c r="E952" s="12">
        <f>CHOOSE( CONTROL!$C$33, 35.504, 35.5029) * CHOOSE( CONTROL!$C$16, $D$11, 100%, $F$11)</f>
        <v>35.503999999999998</v>
      </c>
      <c r="F952" s="4">
        <f>CHOOSE( CONTROL!$C$33, 36.1647, 36.1636) * CHOOSE(CONTROL!$C$16, $D$11, 100%, $F$11)</f>
        <v>36.164700000000003</v>
      </c>
      <c r="G952" s="8">
        <f>CHOOSE( CONTROL!$C$33, 35.1077, 35.1067) * CHOOSE( CONTROL!$C$16, $D$11, 100%, $F$11)</f>
        <v>35.107700000000001</v>
      </c>
      <c r="H952" s="4">
        <f>CHOOSE( CONTROL!$C$33, 35.9878, 35.9868) * CHOOSE(CONTROL!$C$16, $D$11, 100%, $F$11)</f>
        <v>35.9878</v>
      </c>
      <c r="I952" s="8">
        <f>CHOOSE( CONTROL!$C$33, 34.6558, 34.6548) * CHOOSE(CONTROL!$C$16, $D$11, 100%, $F$11)</f>
        <v>34.655799999999999</v>
      </c>
      <c r="J952" s="4">
        <f>CHOOSE( CONTROL!$C$33, 34.4485, 34.4474) * CHOOSE(CONTROL!$C$16, $D$11, 100%, $F$11)</f>
        <v>34.448500000000003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70159</v>
      </c>
      <c r="B953" s="8">
        <f>CHOOSE( CONTROL!$C$33, 36.5516, 36.5505) * CHOOSE(CONTROL!$C$16, $D$11, 100%, $F$11)</f>
        <v>36.551600000000001</v>
      </c>
      <c r="C953" s="8">
        <f>CHOOSE( CONTROL!$C$33, 36.5566, 36.5556) * CHOOSE(CONTROL!$C$16, $D$11, 100%, $F$11)</f>
        <v>36.556600000000003</v>
      </c>
      <c r="D953" s="8">
        <f>CHOOSE( CONTROL!$C$33, 36.5593, 36.5582) * CHOOSE( CONTROL!$C$16, $D$11, 100%, $F$11)</f>
        <v>36.5593</v>
      </c>
      <c r="E953" s="12">
        <f>CHOOSE( CONTROL!$C$33, 36.5578, 36.5567) * CHOOSE( CONTROL!$C$16, $D$11, 100%, $F$11)</f>
        <v>36.5578</v>
      </c>
      <c r="F953" s="4">
        <f>CHOOSE( CONTROL!$C$33, 37.2117, 37.2106) * CHOOSE(CONTROL!$C$16, $D$11, 100%, $F$11)</f>
        <v>37.2117</v>
      </c>
      <c r="G953" s="8">
        <f>CHOOSE( CONTROL!$C$33, 36.1453, 36.1442) * CHOOSE( CONTROL!$C$16, $D$11, 100%, $F$11)</f>
        <v>36.145299999999999</v>
      </c>
      <c r="H953" s="4">
        <f>CHOOSE( CONTROL!$C$33, 37.0226, 37.0215) * CHOOSE(CONTROL!$C$16, $D$11, 100%, $F$11)</f>
        <v>37.022599999999997</v>
      </c>
      <c r="I953" s="8">
        <f>CHOOSE( CONTROL!$C$33, 35.6439, 35.6428) * CHOOSE(CONTROL!$C$16, $D$11, 100%, $F$11)</f>
        <v>35.643900000000002</v>
      </c>
      <c r="J953" s="4">
        <f>CHOOSE( CONTROL!$C$33, 35.4645, 35.4635) * CHOOSE(CONTROL!$C$16, $D$11, 100%, $F$11)</f>
        <v>35.464500000000001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70188</v>
      </c>
      <c r="B954" s="8">
        <f>CHOOSE( CONTROL!$C$33, 34.1892, 34.1881) * CHOOSE(CONTROL!$C$16, $D$11, 100%, $F$11)</f>
        <v>34.1892</v>
      </c>
      <c r="C954" s="8">
        <f>CHOOSE( CONTROL!$C$33, 34.1943, 34.1932) * CHOOSE(CONTROL!$C$16, $D$11, 100%, $F$11)</f>
        <v>34.194299999999998</v>
      </c>
      <c r="D954" s="8">
        <f>CHOOSE( CONTROL!$C$33, 34.1969, 34.1958) * CHOOSE( CONTROL!$C$16, $D$11, 100%, $F$11)</f>
        <v>34.196899999999999</v>
      </c>
      <c r="E954" s="12">
        <f>CHOOSE( CONTROL!$C$33, 34.1954, 34.1943) * CHOOSE( CONTROL!$C$16, $D$11, 100%, $F$11)</f>
        <v>34.195399999999999</v>
      </c>
      <c r="F954" s="4">
        <f>CHOOSE( CONTROL!$C$33, 34.8494, 34.8483) * CHOOSE(CONTROL!$C$16, $D$11, 100%, $F$11)</f>
        <v>34.849400000000003</v>
      </c>
      <c r="G954" s="8">
        <f>CHOOSE( CONTROL!$C$33, 33.8105, 33.8095) * CHOOSE( CONTROL!$C$16, $D$11, 100%, $F$11)</f>
        <v>33.810499999999998</v>
      </c>
      <c r="H954" s="4">
        <f>CHOOSE( CONTROL!$C$33, 34.6879, 34.6868) * CHOOSE(CONTROL!$C$16, $D$11, 100%, $F$11)</f>
        <v>34.687899999999999</v>
      </c>
      <c r="I954" s="8">
        <f>CHOOSE( CONTROL!$C$33, 33.3498, 33.3488) * CHOOSE(CONTROL!$C$16, $D$11, 100%, $F$11)</f>
        <v>33.349800000000002</v>
      </c>
      <c r="J954" s="4">
        <f>CHOOSE( CONTROL!$C$33, 33.1719, 33.1708) * CHOOSE(CONTROL!$C$16, $D$11, 100%, $F$11)</f>
        <v>33.171900000000001</v>
      </c>
      <c r="K954" s="4"/>
      <c r="L954" s="9">
        <v>27.415299999999998</v>
      </c>
      <c r="M954" s="9">
        <v>11.285299999999999</v>
      </c>
      <c r="N954" s="9">
        <v>4.6254999999999997</v>
      </c>
      <c r="O954" s="9">
        <v>0.34989999999999999</v>
      </c>
      <c r="P954" s="9">
        <v>1.2093</v>
      </c>
      <c r="Q954" s="9">
        <v>18.417899999999999</v>
      </c>
      <c r="R954" s="9"/>
      <c r="S954" s="11"/>
    </row>
    <row r="955" spans="1:19" ht="15.75">
      <c r="A955" s="13">
        <v>70219</v>
      </c>
      <c r="B955" s="8">
        <f>CHOOSE( CONTROL!$C$33, 33.4616, 33.4605) * CHOOSE(CONTROL!$C$16, $D$11, 100%, $F$11)</f>
        <v>33.461599999999997</v>
      </c>
      <c r="C955" s="8">
        <f>CHOOSE( CONTROL!$C$33, 33.4667, 33.4656) * CHOOSE(CONTROL!$C$16, $D$11, 100%, $F$11)</f>
        <v>33.466700000000003</v>
      </c>
      <c r="D955" s="8">
        <f>CHOOSE( CONTROL!$C$33, 33.4686, 33.4675) * CHOOSE( CONTROL!$C$16, $D$11, 100%, $F$11)</f>
        <v>33.468600000000002</v>
      </c>
      <c r="E955" s="12">
        <f>CHOOSE( CONTROL!$C$33, 33.4674, 33.4663) * CHOOSE( CONTROL!$C$16, $D$11, 100%, $F$11)</f>
        <v>33.467399999999998</v>
      </c>
      <c r="F955" s="4">
        <f>CHOOSE( CONTROL!$C$33, 34.1218, 34.1207) * CHOOSE(CONTROL!$C$16, $D$11, 100%, $F$11)</f>
        <v>34.1218</v>
      </c>
      <c r="G955" s="8">
        <f>CHOOSE( CONTROL!$C$33, 33.091, 33.0899) * CHOOSE( CONTROL!$C$16, $D$11, 100%, $F$11)</f>
        <v>33.091000000000001</v>
      </c>
      <c r="H955" s="4">
        <f>CHOOSE( CONTROL!$C$33, 33.9688, 33.9677) * CHOOSE(CONTROL!$C$16, $D$11, 100%, $F$11)</f>
        <v>33.968800000000002</v>
      </c>
      <c r="I955" s="8">
        <f>CHOOSE( CONTROL!$C$33, 32.6412, 32.6402) * CHOOSE(CONTROL!$C$16, $D$11, 100%, $F$11)</f>
        <v>32.641199999999998</v>
      </c>
      <c r="J955" s="4">
        <f>CHOOSE( CONTROL!$C$33, 32.4658, 32.4647) * CHOOSE(CONTROL!$C$16, $D$11, 100%, $F$11)</f>
        <v>32.465800000000002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70249</v>
      </c>
      <c r="B956" s="8">
        <f>CHOOSE( CONTROL!$C$33, 33.9708, 33.9697) * CHOOSE(CONTROL!$C$16, $D$11, 100%, $F$11)</f>
        <v>33.970799999999997</v>
      </c>
      <c r="C956" s="8">
        <f>CHOOSE( CONTROL!$C$33, 33.9753, 33.9742) * CHOOSE(CONTROL!$C$16, $D$11, 100%, $F$11)</f>
        <v>33.975299999999997</v>
      </c>
      <c r="D956" s="8">
        <f>CHOOSE( CONTROL!$C$33, 33.9997, 33.9986) * CHOOSE( CONTROL!$C$16, $D$11, 100%, $F$11)</f>
        <v>33.999699999999997</v>
      </c>
      <c r="E956" s="12">
        <f>CHOOSE( CONTROL!$C$33, 33.9911, 33.99) * CHOOSE( CONTROL!$C$16, $D$11, 100%, $F$11)</f>
        <v>33.991100000000003</v>
      </c>
      <c r="F956" s="4">
        <f>CHOOSE( CONTROL!$C$33, 34.6997, 34.6987) * CHOOSE(CONTROL!$C$16, $D$11, 100%, $F$11)</f>
        <v>34.6997</v>
      </c>
      <c r="G956" s="8">
        <f>CHOOSE( CONTROL!$C$33, 33.6032, 33.6021) * CHOOSE( CONTROL!$C$16, $D$11, 100%, $F$11)</f>
        <v>33.603200000000001</v>
      </c>
      <c r="H956" s="4">
        <f>CHOOSE( CONTROL!$C$33, 34.54, 34.5389) * CHOOSE(CONTROL!$C$16, $D$11, 100%, $F$11)</f>
        <v>34.54</v>
      </c>
      <c r="I956" s="8">
        <f>CHOOSE( CONTROL!$C$33, 33.1001, 33.0991) * CHOOSE(CONTROL!$C$16, $D$11, 100%, $F$11)</f>
        <v>33.100099999999998</v>
      </c>
      <c r="J956" s="4">
        <f>CHOOSE( CONTROL!$C$33, 32.9592, 32.9581) * CHOOSE(CONTROL!$C$16, $D$11, 100%, $F$11)</f>
        <v>32.959200000000003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1.2509999999999999</v>
      </c>
      <c r="Q956" s="9">
        <v>19.053000000000001</v>
      </c>
      <c r="R956" s="9"/>
      <c r="S956" s="11"/>
    </row>
    <row r="957" spans="1:19" ht="15.75">
      <c r="A957" s="13">
        <v>70280</v>
      </c>
      <c r="B957" s="8">
        <f>CHOOSE( CONTROL!$C$33, 34.8776, 34.876) * CHOOSE(CONTROL!$C$16, $D$11, 100%, $F$11)</f>
        <v>34.877600000000001</v>
      </c>
      <c r="C957" s="8">
        <f>CHOOSE( CONTROL!$C$33, 34.8856, 34.884) * CHOOSE(CONTROL!$C$16, $D$11, 100%, $F$11)</f>
        <v>34.885599999999997</v>
      </c>
      <c r="D957" s="8">
        <f>CHOOSE( CONTROL!$C$33, 34.9039, 34.9023) * CHOOSE( CONTROL!$C$16, $D$11, 100%, $F$11)</f>
        <v>34.9039</v>
      </c>
      <c r="E957" s="12">
        <f>CHOOSE( CONTROL!$C$33, 34.896, 34.8944) * CHOOSE( CONTROL!$C$16, $D$11, 100%, $F$11)</f>
        <v>34.896000000000001</v>
      </c>
      <c r="F957" s="4">
        <f>CHOOSE( CONTROL!$C$33, 35.6052, 35.6035) * CHOOSE(CONTROL!$C$16, $D$11, 100%, $F$11)</f>
        <v>35.605200000000004</v>
      </c>
      <c r="G957" s="8">
        <f>CHOOSE( CONTROL!$C$33, 34.4979, 34.4963) * CHOOSE( CONTROL!$C$16, $D$11, 100%, $F$11)</f>
        <v>34.497900000000001</v>
      </c>
      <c r="H957" s="4">
        <f>CHOOSE( CONTROL!$C$33, 35.4349, 35.4332) * CHOOSE(CONTROL!$C$16, $D$11, 100%, $F$11)</f>
        <v>35.434899999999999</v>
      </c>
      <c r="I957" s="8">
        <f>CHOOSE( CONTROL!$C$33, 33.9787, 33.9771) * CHOOSE(CONTROL!$C$16, $D$11, 100%, $F$11)</f>
        <v>33.978700000000003</v>
      </c>
      <c r="J957" s="4">
        <f>CHOOSE( CONTROL!$C$33, 33.8379, 33.8363) * CHOOSE(CONTROL!$C$16, $D$11, 100%, $F$11)</f>
        <v>33.837899999999998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1.2927</v>
      </c>
      <c r="Q957" s="9">
        <v>19.688099999999999</v>
      </c>
      <c r="R957" s="9"/>
      <c r="S957" s="11"/>
    </row>
    <row r="958" spans="1:19" ht="15.75">
      <c r="A958" s="13">
        <v>70310</v>
      </c>
      <c r="B958" s="8">
        <f>CHOOSE( CONTROL!$C$33, 34.3171, 34.3154) * CHOOSE(CONTROL!$C$16, $D$11, 100%, $F$11)</f>
        <v>34.317100000000003</v>
      </c>
      <c r="C958" s="8">
        <f>CHOOSE( CONTROL!$C$33, 34.3251, 34.3234) * CHOOSE(CONTROL!$C$16, $D$11, 100%, $F$11)</f>
        <v>34.325099999999999</v>
      </c>
      <c r="D958" s="8">
        <f>CHOOSE( CONTROL!$C$33, 34.3436, 34.342) * CHOOSE( CONTROL!$C$16, $D$11, 100%, $F$11)</f>
        <v>34.343600000000002</v>
      </c>
      <c r="E958" s="12">
        <f>CHOOSE( CONTROL!$C$33, 34.3357, 34.334) * CHOOSE( CONTROL!$C$16, $D$11, 100%, $F$11)</f>
        <v>34.335700000000003</v>
      </c>
      <c r="F958" s="4">
        <f>CHOOSE( CONTROL!$C$33, 35.0446, 35.043) * CHOOSE(CONTROL!$C$16, $D$11, 100%, $F$11)</f>
        <v>35.044600000000003</v>
      </c>
      <c r="G958" s="8">
        <f>CHOOSE( CONTROL!$C$33, 33.9441, 33.9425) * CHOOSE( CONTROL!$C$16, $D$11, 100%, $F$11)</f>
        <v>33.944099999999999</v>
      </c>
      <c r="H958" s="4">
        <f>CHOOSE( CONTROL!$C$33, 34.8809, 34.8793) * CHOOSE(CONTROL!$C$16, $D$11, 100%, $F$11)</f>
        <v>34.880899999999997</v>
      </c>
      <c r="I958" s="8">
        <f>CHOOSE( CONTROL!$C$33, 33.4353, 33.4337) * CHOOSE(CONTROL!$C$16, $D$11, 100%, $F$11)</f>
        <v>33.435299999999998</v>
      </c>
      <c r="J958" s="4">
        <f>CHOOSE( CONTROL!$C$33, 33.2939, 33.2923) * CHOOSE(CONTROL!$C$16, $D$11, 100%, $F$11)</f>
        <v>33.293900000000001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1.2509999999999999</v>
      </c>
      <c r="Q958" s="9">
        <v>19.053000000000001</v>
      </c>
      <c r="R958" s="9"/>
      <c r="S958" s="11"/>
    </row>
    <row r="959" spans="1:19" ht="15.75">
      <c r="A959" s="13">
        <v>70341</v>
      </c>
      <c r="B959" s="8">
        <f>CHOOSE( CONTROL!$C$33, 35.7932, 35.7916) * CHOOSE(CONTROL!$C$16, $D$11, 100%, $F$11)</f>
        <v>35.793199999999999</v>
      </c>
      <c r="C959" s="8">
        <f>CHOOSE( CONTROL!$C$33, 35.8012, 35.7995) * CHOOSE(CONTROL!$C$16, $D$11, 100%, $F$11)</f>
        <v>35.801200000000001</v>
      </c>
      <c r="D959" s="8">
        <f>CHOOSE( CONTROL!$C$33, 35.82, 35.8183) * CHOOSE( CONTROL!$C$16, $D$11, 100%, $F$11)</f>
        <v>35.82</v>
      </c>
      <c r="E959" s="12">
        <f>CHOOSE( CONTROL!$C$33, 35.812, 35.8103) * CHOOSE( CONTROL!$C$16, $D$11, 100%, $F$11)</f>
        <v>35.811999999999998</v>
      </c>
      <c r="F959" s="4">
        <f>CHOOSE( CONTROL!$C$33, 36.5208, 36.5191) * CHOOSE(CONTROL!$C$16, $D$11, 100%, $F$11)</f>
        <v>36.520800000000001</v>
      </c>
      <c r="G959" s="8">
        <f>CHOOSE( CONTROL!$C$33, 35.4032, 35.4015) * CHOOSE( CONTROL!$C$16, $D$11, 100%, $F$11)</f>
        <v>35.403199999999998</v>
      </c>
      <c r="H959" s="4">
        <f>CHOOSE( CONTROL!$C$33, 36.3397, 36.3381) * CHOOSE(CONTROL!$C$16, $D$11, 100%, $F$11)</f>
        <v>36.339700000000001</v>
      </c>
      <c r="I959" s="8">
        <f>CHOOSE( CONTROL!$C$33, 34.8694, 34.8678) * CHOOSE(CONTROL!$C$16, $D$11, 100%, $F$11)</f>
        <v>34.869399999999999</v>
      </c>
      <c r="J959" s="4">
        <f>CHOOSE( CONTROL!$C$33, 34.7265, 34.7249) * CHOOSE(CONTROL!$C$16, $D$11, 100%, $F$11)</f>
        <v>34.726500000000001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1.2927</v>
      </c>
      <c r="Q959" s="9">
        <v>19.688099999999999</v>
      </c>
      <c r="R959" s="9"/>
      <c r="S959" s="11"/>
    </row>
    <row r="960" spans="1:19" ht="15.75">
      <c r="A960" s="13">
        <v>70372</v>
      </c>
      <c r="B960" s="8">
        <f>CHOOSE( CONTROL!$C$33, 33.0312, 33.0296) * CHOOSE(CONTROL!$C$16, $D$11, 100%, $F$11)</f>
        <v>33.031199999999998</v>
      </c>
      <c r="C960" s="8">
        <f>CHOOSE( CONTROL!$C$33, 33.0392, 33.0376) * CHOOSE(CONTROL!$C$16, $D$11, 100%, $F$11)</f>
        <v>33.039200000000001</v>
      </c>
      <c r="D960" s="8">
        <f>CHOOSE( CONTROL!$C$33, 33.0581, 33.0564) * CHOOSE( CONTROL!$C$16, $D$11, 100%, $F$11)</f>
        <v>33.058100000000003</v>
      </c>
      <c r="E960" s="12">
        <f>CHOOSE( CONTROL!$C$33, 33.05, 33.0484) * CHOOSE( CONTROL!$C$16, $D$11, 100%, $F$11)</f>
        <v>33.049999999999997</v>
      </c>
      <c r="F960" s="4">
        <f>CHOOSE( CONTROL!$C$33, 33.7588, 33.7571) * CHOOSE(CONTROL!$C$16, $D$11, 100%, $F$11)</f>
        <v>33.758800000000001</v>
      </c>
      <c r="G960" s="8">
        <f>CHOOSE( CONTROL!$C$33, 32.6736, 32.6719) * CHOOSE( CONTROL!$C$16, $D$11, 100%, $F$11)</f>
        <v>32.6736</v>
      </c>
      <c r="H960" s="4">
        <f>CHOOSE( CONTROL!$C$33, 33.6101, 33.6085) * CHOOSE(CONTROL!$C$16, $D$11, 100%, $F$11)</f>
        <v>33.610100000000003</v>
      </c>
      <c r="I960" s="8">
        <f>CHOOSE( CONTROL!$C$33, 32.1878, 32.1862) * CHOOSE(CONTROL!$C$16, $D$11, 100%, $F$11)</f>
        <v>32.187800000000003</v>
      </c>
      <c r="J960" s="4">
        <f>CHOOSE( CONTROL!$C$33, 32.046, 32.0444) * CHOOSE(CONTROL!$C$16, $D$11, 100%, $F$11)</f>
        <v>32.045999999999999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1.2927</v>
      </c>
      <c r="Q960" s="9">
        <v>19.688099999999999</v>
      </c>
      <c r="R960" s="9"/>
      <c r="S960" s="11"/>
    </row>
    <row r="961" spans="1:19" ht="15.75">
      <c r="A961" s="13">
        <v>70402</v>
      </c>
      <c r="B961" s="8">
        <f>CHOOSE( CONTROL!$C$33, 32.3396, 32.3379) * CHOOSE(CONTROL!$C$16, $D$11, 100%, $F$11)</f>
        <v>32.339599999999997</v>
      </c>
      <c r="C961" s="8">
        <f>CHOOSE( CONTROL!$C$33, 32.3476, 32.3459) * CHOOSE(CONTROL!$C$16, $D$11, 100%, $F$11)</f>
        <v>32.3476</v>
      </c>
      <c r="D961" s="8">
        <f>CHOOSE( CONTROL!$C$33, 32.3663, 32.3647) * CHOOSE( CONTROL!$C$16, $D$11, 100%, $F$11)</f>
        <v>32.366300000000003</v>
      </c>
      <c r="E961" s="12">
        <f>CHOOSE( CONTROL!$C$33, 32.3583, 32.3567) * CHOOSE( CONTROL!$C$16, $D$11, 100%, $F$11)</f>
        <v>32.3583</v>
      </c>
      <c r="F961" s="4">
        <f>CHOOSE( CONTROL!$C$33, 33.0672, 33.0655) * CHOOSE(CONTROL!$C$16, $D$11, 100%, $F$11)</f>
        <v>33.0672</v>
      </c>
      <c r="G961" s="8">
        <f>CHOOSE( CONTROL!$C$33, 31.99, 31.9883) * CHOOSE( CONTROL!$C$16, $D$11, 100%, $F$11)</f>
        <v>31.99</v>
      </c>
      <c r="H961" s="4">
        <f>CHOOSE( CONTROL!$C$33, 32.9266, 32.9249) * CHOOSE(CONTROL!$C$16, $D$11, 100%, $F$11)</f>
        <v>32.926600000000001</v>
      </c>
      <c r="I961" s="8">
        <f>CHOOSE( CONTROL!$C$33, 31.5159, 31.5143) * CHOOSE(CONTROL!$C$16, $D$11, 100%, $F$11)</f>
        <v>31.515899999999998</v>
      </c>
      <c r="J961" s="4">
        <f>CHOOSE( CONTROL!$C$33, 31.3748, 31.3732) * CHOOSE(CONTROL!$C$16, $D$11, 100%, $F$11)</f>
        <v>31.3748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1.2509999999999999</v>
      </c>
      <c r="Q961" s="9">
        <v>19.053000000000001</v>
      </c>
      <c r="R961" s="9"/>
      <c r="S961" s="11"/>
    </row>
    <row r="962" spans="1:19" ht="15.75">
      <c r="A962" s="13">
        <v>70433</v>
      </c>
      <c r="B962" s="8">
        <f>CHOOSE( CONTROL!$C$33, 33.7734, 33.7723) * CHOOSE(CONTROL!$C$16, $D$11, 100%, $F$11)</f>
        <v>33.773400000000002</v>
      </c>
      <c r="C962" s="8">
        <f>CHOOSE( CONTROL!$C$33, 33.7787, 33.7776) * CHOOSE(CONTROL!$C$16, $D$11, 100%, $F$11)</f>
        <v>33.778700000000001</v>
      </c>
      <c r="D962" s="8">
        <f>CHOOSE( CONTROL!$C$33, 33.8031, 33.802) * CHOOSE( CONTROL!$C$16, $D$11, 100%, $F$11)</f>
        <v>33.803100000000001</v>
      </c>
      <c r="E962" s="12">
        <f>CHOOSE( CONTROL!$C$33, 33.7945, 33.7934) * CHOOSE( CONTROL!$C$16, $D$11, 100%, $F$11)</f>
        <v>33.794499999999999</v>
      </c>
      <c r="F962" s="4">
        <f>CHOOSE( CONTROL!$C$33, 34.5026, 34.5016) * CHOOSE(CONTROL!$C$16, $D$11, 100%, $F$11)</f>
        <v>34.502600000000001</v>
      </c>
      <c r="G962" s="8">
        <f>CHOOSE( CONTROL!$C$33, 33.4088, 33.4077) * CHOOSE( CONTROL!$C$16, $D$11, 100%, $F$11)</f>
        <v>33.408799999999999</v>
      </c>
      <c r="H962" s="4">
        <f>CHOOSE( CONTROL!$C$33, 34.3452, 34.3442) * CHOOSE(CONTROL!$C$16, $D$11, 100%, $F$11)</f>
        <v>34.345199999999998</v>
      </c>
      <c r="I962" s="8">
        <f>CHOOSE( CONTROL!$C$33, 32.9106, 32.9096) * CHOOSE(CONTROL!$C$16, $D$11, 100%, $F$11)</f>
        <v>32.910600000000002</v>
      </c>
      <c r="J962" s="4">
        <f>CHOOSE( CONTROL!$C$33, 32.7679, 32.7669) * CHOOSE(CONTROL!$C$16, $D$11, 100%, $F$11)</f>
        <v>32.767899999999997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1.2927</v>
      </c>
      <c r="Q962" s="9">
        <v>19.688099999999999</v>
      </c>
      <c r="R962" s="9"/>
      <c r="S962" s="11"/>
    </row>
    <row r="963" spans="1:19" ht="15.75">
      <c r="A963" s="13">
        <v>70463</v>
      </c>
      <c r="B963" s="8">
        <f>CHOOSE( CONTROL!$C$33, 36.4237, 36.4226) * CHOOSE(CONTROL!$C$16, $D$11, 100%, $F$11)</f>
        <v>36.423699999999997</v>
      </c>
      <c r="C963" s="8">
        <f>CHOOSE( CONTROL!$C$33, 36.4287, 36.4277) * CHOOSE(CONTROL!$C$16, $D$11, 100%, $F$11)</f>
        <v>36.428699999999999</v>
      </c>
      <c r="D963" s="8">
        <f>CHOOSE( CONTROL!$C$33, 36.4191, 36.4181) * CHOOSE( CONTROL!$C$16, $D$11, 100%, $F$11)</f>
        <v>36.4191</v>
      </c>
      <c r="E963" s="12">
        <f>CHOOSE( CONTROL!$C$33, 36.4221, 36.4211) * CHOOSE( CONTROL!$C$16, $D$11, 100%, $F$11)</f>
        <v>36.4221</v>
      </c>
      <c r="F963" s="4">
        <f>CHOOSE( CONTROL!$C$33, 37.0838, 37.0827) * CHOOSE(CONTROL!$C$16, $D$11, 100%, $F$11)</f>
        <v>37.083799999999997</v>
      </c>
      <c r="G963" s="8">
        <f>CHOOSE( CONTROL!$C$33, 36.015, 36.014) * CHOOSE( CONTROL!$C$16, $D$11, 100%, $F$11)</f>
        <v>36.015000000000001</v>
      </c>
      <c r="H963" s="4">
        <f>CHOOSE( CONTROL!$C$33, 36.8962, 36.8951) * CHOOSE(CONTROL!$C$16, $D$11, 100%, $F$11)</f>
        <v>36.8962</v>
      </c>
      <c r="I963" s="8">
        <f>CHOOSE( CONTROL!$C$33, 35.5438, 35.5427) * CHOOSE(CONTROL!$C$16, $D$11, 100%, $F$11)</f>
        <v>35.543799999999997</v>
      </c>
      <c r="J963" s="4">
        <f>CHOOSE( CONTROL!$C$33, 35.3404, 35.3394) * CHOOSE(CONTROL!$C$16, $D$11, 100%, $F$11)</f>
        <v>35.340400000000002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70494</v>
      </c>
      <c r="B964" s="8">
        <f>CHOOSE( CONTROL!$C$33, 36.3574, 36.3564) * CHOOSE(CONTROL!$C$16, $D$11, 100%, $F$11)</f>
        <v>36.357399999999998</v>
      </c>
      <c r="C964" s="8">
        <f>CHOOSE( CONTROL!$C$33, 36.3625, 36.3614) * CHOOSE(CONTROL!$C$16, $D$11, 100%, $F$11)</f>
        <v>36.362499999999997</v>
      </c>
      <c r="D964" s="8">
        <f>CHOOSE( CONTROL!$C$33, 36.3543, 36.3532) * CHOOSE( CONTROL!$C$16, $D$11, 100%, $F$11)</f>
        <v>36.354300000000002</v>
      </c>
      <c r="E964" s="12">
        <f>CHOOSE( CONTROL!$C$33, 36.3568, 36.3557) * CHOOSE( CONTROL!$C$16, $D$11, 100%, $F$11)</f>
        <v>36.3568</v>
      </c>
      <c r="F964" s="4">
        <f>CHOOSE( CONTROL!$C$33, 37.0176, 37.0165) * CHOOSE(CONTROL!$C$16, $D$11, 100%, $F$11)</f>
        <v>37.017600000000002</v>
      </c>
      <c r="G964" s="8">
        <f>CHOOSE( CONTROL!$C$33, 35.9506, 35.9495) * CHOOSE( CONTROL!$C$16, $D$11, 100%, $F$11)</f>
        <v>35.950600000000001</v>
      </c>
      <c r="H964" s="4">
        <f>CHOOSE( CONTROL!$C$33, 36.8307, 36.8296) * CHOOSE(CONTROL!$C$16, $D$11, 100%, $F$11)</f>
        <v>36.8307</v>
      </c>
      <c r="I964" s="8">
        <f>CHOOSE( CONTROL!$C$33, 35.4839, 35.4828) * CHOOSE(CONTROL!$C$16, $D$11, 100%, $F$11)</f>
        <v>35.483899999999998</v>
      </c>
      <c r="J964" s="4">
        <f>CHOOSE( CONTROL!$C$33, 35.2761, 35.2751) * CHOOSE(CONTROL!$C$16, $D$11, 100%, $F$11)</f>
        <v>35.2761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70525</v>
      </c>
      <c r="B965" s="8">
        <f>CHOOSE( CONTROL!$C$33, 37.4296, 37.4285) * CHOOSE(CONTROL!$C$16, $D$11, 100%, $F$11)</f>
        <v>37.429600000000001</v>
      </c>
      <c r="C965" s="8">
        <f>CHOOSE( CONTROL!$C$33, 37.4346, 37.4336) * CHOOSE(CONTROL!$C$16, $D$11, 100%, $F$11)</f>
        <v>37.434600000000003</v>
      </c>
      <c r="D965" s="8">
        <f>CHOOSE( CONTROL!$C$33, 37.4373, 37.4362) * CHOOSE( CONTROL!$C$16, $D$11, 100%, $F$11)</f>
        <v>37.4373</v>
      </c>
      <c r="E965" s="12">
        <f>CHOOSE( CONTROL!$C$33, 37.4358, 37.4347) * CHOOSE( CONTROL!$C$16, $D$11, 100%, $F$11)</f>
        <v>37.4358</v>
      </c>
      <c r="F965" s="4">
        <f>CHOOSE( CONTROL!$C$33, 38.0897, 38.0886) * CHOOSE(CONTROL!$C$16, $D$11, 100%, $F$11)</f>
        <v>38.089700000000001</v>
      </c>
      <c r="G965" s="8">
        <f>CHOOSE( CONTROL!$C$33, 37.013, 37.0119) * CHOOSE( CONTROL!$C$16, $D$11, 100%, $F$11)</f>
        <v>37.012999999999998</v>
      </c>
      <c r="H965" s="4">
        <f>CHOOSE( CONTROL!$C$33, 37.8903, 37.8892) * CHOOSE(CONTROL!$C$16, $D$11, 100%, $F$11)</f>
        <v>37.890300000000003</v>
      </c>
      <c r="I965" s="8">
        <f>CHOOSE( CONTROL!$C$33, 36.4964, 36.4954) * CHOOSE(CONTROL!$C$16, $D$11, 100%, $F$11)</f>
        <v>36.496400000000001</v>
      </c>
      <c r="J965" s="4">
        <f>CHOOSE( CONTROL!$C$33, 36.3166, 36.3156) * CHOOSE(CONTROL!$C$16, $D$11, 100%, $F$11)</f>
        <v>36.316600000000001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70553</v>
      </c>
      <c r="B966" s="8">
        <f>CHOOSE( CONTROL!$C$33, 35.0105, 35.0094) * CHOOSE(CONTROL!$C$16, $D$11, 100%, $F$11)</f>
        <v>35.0105</v>
      </c>
      <c r="C966" s="8">
        <f>CHOOSE( CONTROL!$C$33, 35.0155, 35.0145) * CHOOSE(CONTROL!$C$16, $D$11, 100%, $F$11)</f>
        <v>35.015500000000003</v>
      </c>
      <c r="D966" s="8">
        <f>CHOOSE( CONTROL!$C$33, 35.0181, 35.017) * CHOOSE( CONTROL!$C$16, $D$11, 100%, $F$11)</f>
        <v>35.018099999999997</v>
      </c>
      <c r="E966" s="12">
        <f>CHOOSE( CONTROL!$C$33, 35.0166, 35.0155) * CHOOSE( CONTROL!$C$16, $D$11, 100%, $F$11)</f>
        <v>35.016599999999997</v>
      </c>
      <c r="F966" s="4">
        <f>CHOOSE( CONTROL!$C$33, 35.6706, 35.6695) * CHOOSE(CONTROL!$C$16, $D$11, 100%, $F$11)</f>
        <v>35.6706</v>
      </c>
      <c r="G966" s="8">
        <f>CHOOSE( CONTROL!$C$33, 34.6222, 34.6211) * CHOOSE( CONTROL!$C$16, $D$11, 100%, $F$11)</f>
        <v>34.622199999999999</v>
      </c>
      <c r="H966" s="4">
        <f>CHOOSE( CONTROL!$C$33, 35.4995, 35.4984) * CHOOSE(CONTROL!$C$16, $D$11, 100%, $F$11)</f>
        <v>35.499499999999998</v>
      </c>
      <c r="I966" s="8">
        <f>CHOOSE( CONTROL!$C$33, 34.1472, 34.1462) * CHOOSE(CONTROL!$C$16, $D$11, 100%, $F$11)</f>
        <v>34.147199999999998</v>
      </c>
      <c r="J966" s="4">
        <f>CHOOSE( CONTROL!$C$33, 33.9689, 33.9678) * CHOOSE(CONTROL!$C$16, $D$11, 100%, $F$11)</f>
        <v>33.968899999999998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70584</v>
      </c>
      <c r="B967" s="8">
        <f>CHOOSE( CONTROL!$C$33, 34.2654, 34.2643) * CHOOSE(CONTROL!$C$16, $D$11, 100%, $F$11)</f>
        <v>34.2654</v>
      </c>
      <c r="C967" s="8">
        <f>CHOOSE( CONTROL!$C$33, 34.2705, 34.2694) * CHOOSE(CONTROL!$C$16, $D$11, 100%, $F$11)</f>
        <v>34.270499999999998</v>
      </c>
      <c r="D967" s="8">
        <f>CHOOSE( CONTROL!$C$33, 34.2723, 34.2712) * CHOOSE( CONTROL!$C$16, $D$11, 100%, $F$11)</f>
        <v>34.272300000000001</v>
      </c>
      <c r="E967" s="12">
        <f>CHOOSE( CONTROL!$C$33, 34.2711, 34.27) * CHOOSE( CONTROL!$C$16, $D$11, 100%, $F$11)</f>
        <v>34.271099999999997</v>
      </c>
      <c r="F967" s="4">
        <f>CHOOSE( CONTROL!$C$33, 34.9255, 34.9244) * CHOOSE(CONTROL!$C$16, $D$11, 100%, $F$11)</f>
        <v>34.9255</v>
      </c>
      <c r="G967" s="8">
        <f>CHOOSE( CONTROL!$C$33, 33.8853, 33.8843) * CHOOSE( CONTROL!$C$16, $D$11, 100%, $F$11)</f>
        <v>33.885300000000001</v>
      </c>
      <c r="H967" s="4">
        <f>CHOOSE( CONTROL!$C$33, 34.7632, 34.7621) * CHOOSE(CONTROL!$C$16, $D$11, 100%, $F$11)</f>
        <v>34.763199999999998</v>
      </c>
      <c r="I967" s="8">
        <f>CHOOSE( CONTROL!$C$33, 33.4216, 33.4206) * CHOOSE(CONTROL!$C$16, $D$11, 100%, $F$11)</f>
        <v>33.421599999999998</v>
      </c>
      <c r="J967" s="4">
        <f>CHOOSE( CONTROL!$C$33, 33.2458, 33.2448) * CHOOSE(CONTROL!$C$16, $D$11, 100%, $F$11)</f>
        <v>33.245800000000003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70614</v>
      </c>
      <c r="B968" s="8">
        <f>CHOOSE( CONTROL!$C$33, 34.7868, 34.7857) * CHOOSE(CONTROL!$C$16, $D$11, 100%, $F$11)</f>
        <v>34.786799999999999</v>
      </c>
      <c r="C968" s="8">
        <f>CHOOSE( CONTROL!$C$33, 34.7913, 34.7902) * CHOOSE(CONTROL!$C$16, $D$11, 100%, $F$11)</f>
        <v>34.7913</v>
      </c>
      <c r="D968" s="8">
        <f>CHOOSE( CONTROL!$C$33, 34.8157, 34.8146) * CHOOSE( CONTROL!$C$16, $D$11, 100%, $F$11)</f>
        <v>34.8157</v>
      </c>
      <c r="E968" s="12">
        <f>CHOOSE( CONTROL!$C$33, 34.8071, 34.806) * CHOOSE( CONTROL!$C$16, $D$11, 100%, $F$11)</f>
        <v>34.807099999999998</v>
      </c>
      <c r="F968" s="4">
        <f>CHOOSE( CONTROL!$C$33, 35.5157, 35.5146) * CHOOSE(CONTROL!$C$16, $D$11, 100%, $F$11)</f>
        <v>35.515700000000002</v>
      </c>
      <c r="G968" s="8">
        <f>CHOOSE( CONTROL!$C$33, 34.4096, 34.4085) * CHOOSE( CONTROL!$C$16, $D$11, 100%, $F$11)</f>
        <v>34.409599999999998</v>
      </c>
      <c r="H968" s="4">
        <f>CHOOSE( CONTROL!$C$33, 35.3464, 35.3454) * CHOOSE(CONTROL!$C$16, $D$11, 100%, $F$11)</f>
        <v>35.346400000000003</v>
      </c>
      <c r="I968" s="8">
        <f>CHOOSE( CONTROL!$C$33, 33.8924, 33.8914) * CHOOSE(CONTROL!$C$16, $D$11, 100%, $F$11)</f>
        <v>33.892400000000002</v>
      </c>
      <c r="J968" s="4">
        <f>CHOOSE( CONTROL!$C$33, 33.7511, 33.75) * CHOOSE(CONTROL!$C$16, $D$11, 100%, $F$11)</f>
        <v>33.751100000000001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1.2509999999999999</v>
      </c>
      <c r="Q968" s="9">
        <v>19.053000000000001</v>
      </c>
      <c r="R968" s="9"/>
      <c r="S968" s="11"/>
    </row>
    <row r="969" spans="1:19" ht="15.75">
      <c r="A969" s="13">
        <v>70645</v>
      </c>
      <c r="B969" s="8">
        <f>CHOOSE( CONTROL!$C$33, 35.7154, 35.7137) * CHOOSE(CONTROL!$C$16, $D$11, 100%, $F$11)</f>
        <v>35.715400000000002</v>
      </c>
      <c r="C969" s="8">
        <f>CHOOSE( CONTROL!$C$33, 35.7233, 35.7217) * CHOOSE(CONTROL!$C$16, $D$11, 100%, $F$11)</f>
        <v>35.723300000000002</v>
      </c>
      <c r="D969" s="8">
        <f>CHOOSE( CONTROL!$C$33, 35.7416, 35.74) * CHOOSE( CONTROL!$C$16, $D$11, 100%, $F$11)</f>
        <v>35.741599999999998</v>
      </c>
      <c r="E969" s="12">
        <f>CHOOSE( CONTROL!$C$33, 35.7338, 35.7321) * CHOOSE( CONTROL!$C$16, $D$11, 100%, $F$11)</f>
        <v>35.733800000000002</v>
      </c>
      <c r="F969" s="4">
        <f>CHOOSE( CONTROL!$C$33, 36.4429, 36.4413) * CHOOSE(CONTROL!$C$16, $D$11, 100%, $F$11)</f>
        <v>36.442900000000002</v>
      </c>
      <c r="G969" s="8">
        <f>CHOOSE( CONTROL!$C$33, 35.3258, 35.3242) * CHOOSE( CONTROL!$C$16, $D$11, 100%, $F$11)</f>
        <v>35.325800000000001</v>
      </c>
      <c r="H969" s="4">
        <f>CHOOSE( CONTROL!$C$33, 36.2628, 36.2611) * CHOOSE(CONTROL!$C$16, $D$11, 100%, $F$11)</f>
        <v>36.262799999999999</v>
      </c>
      <c r="I969" s="8">
        <f>CHOOSE( CONTROL!$C$33, 34.7921, 34.7905) * CHOOSE(CONTROL!$C$16, $D$11, 100%, $F$11)</f>
        <v>34.792099999999998</v>
      </c>
      <c r="J969" s="4">
        <f>CHOOSE( CONTROL!$C$33, 34.6509, 34.6493) * CHOOSE(CONTROL!$C$16, $D$11, 100%, $F$11)</f>
        <v>34.6509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1.2927</v>
      </c>
      <c r="Q969" s="9">
        <v>19.688099999999999</v>
      </c>
      <c r="R969" s="9"/>
      <c r="S969" s="11"/>
    </row>
    <row r="970" spans="1:19" ht="15.75">
      <c r="A970" s="13">
        <v>70675</v>
      </c>
      <c r="B970" s="8">
        <f>CHOOSE( CONTROL!$C$33, 35.1413, 35.1397) * CHOOSE(CONTROL!$C$16, $D$11, 100%, $F$11)</f>
        <v>35.141300000000001</v>
      </c>
      <c r="C970" s="8">
        <f>CHOOSE( CONTROL!$C$33, 35.1493, 35.1477) * CHOOSE(CONTROL!$C$16, $D$11, 100%, $F$11)</f>
        <v>35.149299999999997</v>
      </c>
      <c r="D970" s="8">
        <f>CHOOSE( CONTROL!$C$33, 35.1679, 35.1662) * CHOOSE( CONTROL!$C$16, $D$11, 100%, $F$11)</f>
        <v>35.167900000000003</v>
      </c>
      <c r="E970" s="12">
        <f>CHOOSE( CONTROL!$C$33, 35.1599, 35.1583) * CHOOSE( CONTROL!$C$16, $D$11, 100%, $F$11)</f>
        <v>35.1599</v>
      </c>
      <c r="F970" s="4">
        <f>CHOOSE( CONTROL!$C$33, 35.8689, 35.8672) * CHOOSE(CONTROL!$C$16, $D$11, 100%, $F$11)</f>
        <v>35.868899999999996</v>
      </c>
      <c r="G970" s="8">
        <f>CHOOSE( CONTROL!$C$33, 34.7587, 34.7571) * CHOOSE( CONTROL!$C$16, $D$11, 100%, $F$11)</f>
        <v>34.758699999999997</v>
      </c>
      <c r="H970" s="4">
        <f>CHOOSE( CONTROL!$C$33, 35.6955, 35.6938) * CHOOSE(CONTROL!$C$16, $D$11, 100%, $F$11)</f>
        <v>35.695500000000003</v>
      </c>
      <c r="I970" s="8">
        <f>CHOOSE( CONTROL!$C$33, 34.2356, 34.234) * CHOOSE(CONTROL!$C$16, $D$11, 100%, $F$11)</f>
        <v>34.235599999999998</v>
      </c>
      <c r="J970" s="4">
        <f>CHOOSE( CONTROL!$C$33, 34.0939, 34.0922) * CHOOSE(CONTROL!$C$16, $D$11, 100%, $F$11)</f>
        <v>34.093899999999998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1.2509999999999999</v>
      </c>
      <c r="Q970" s="9">
        <v>19.053000000000001</v>
      </c>
      <c r="R970" s="9"/>
      <c r="S970" s="11"/>
    </row>
    <row r="971" spans="1:19" ht="15.75">
      <c r="A971" s="13">
        <v>70706</v>
      </c>
      <c r="B971" s="8">
        <f>CHOOSE( CONTROL!$C$33, 36.6529, 36.6513) * CHOOSE(CONTROL!$C$16, $D$11, 100%, $F$11)</f>
        <v>36.652900000000002</v>
      </c>
      <c r="C971" s="8">
        <f>CHOOSE( CONTROL!$C$33, 36.6609, 36.6593) * CHOOSE(CONTROL!$C$16, $D$11, 100%, $F$11)</f>
        <v>36.660899999999998</v>
      </c>
      <c r="D971" s="8">
        <f>CHOOSE( CONTROL!$C$33, 36.6797, 36.678) * CHOOSE( CONTROL!$C$16, $D$11, 100%, $F$11)</f>
        <v>36.679699999999997</v>
      </c>
      <c r="E971" s="12">
        <f>CHOOSE( CONTROL!$C$33, 36.6717, 36.67) * CHOOSE( CONTROL!$C$16, $D$11, 100%, $F$11)</f>
        <v>36.671700000000001</v>
      </c>
      <c r="F971" s="4">
        <f>CHOOSE( CONTROL!$C$33, 37.3805, 37.3788) * CHOOSE(CONTROL!$C$16, $D$11, 100%, $F$11)</f>
        <v>37.380499999999998</v>
      </c>
      <c r="G971" s="8">
        <f>CHOOSE( CONTROL!$C$33, 36.2528, 36.2512) * CHOOSE( CONTROL!$C$16, $D$11, 100%, $F$11)</f>
        <v>36.252800000000001</v>
      </c>
      <c r="H971" s="4">
        <f>CHOOSE( CONTROL!$C$33, 37.1894, 37.1877) * CHOOSE(CONTROL!$C$16, $D$11, 100%, $F$11)</f>
        <v>37.189399999999999</v>
      </c>
      <c r="I971" s="8">
        <f>CHOOSE( CONTROL!$C$33, 35.7042, 35.7026) * CHOOSE(CONTROL!$C$16, $D$11, 100%, $F$11)</f>
        <v>35.7042</v>
      </c>
      <c r="J971" s="4">
        <f>CHOOSE( CONTROL!$C$33, 35.5609, 35.5592) * CHOOSE(CONTROL!$C$16, $D$11, 100%, $F$11)</f>
        <v>35.560899999999997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1.2927</v>
      </c>
      <c r="Q971" s="9">
        <v>19.688099999999999</v>
      </c>
      <c r="R971" s="9"/>
      <c r="S971" s="11"/>
    </row>
    <row r="972" spans="1:19" ht="15.75">
      <c r="A972" s="13">
        <v>70737</v>
      </c>
      <c r="B972" s="8">
        <f>CHOOSE( CONTROL!$C$33, 33.8246, 33.8229) * CHOOSE(CONTROL!$C$16, $D$11, 100%, $F$11)</f>
        <v>33.824599999999997</v>
      </c>
      <c r="C972" s="8">
        <f>CHOOSE( CONTROL!$C$33, 33.8326, 33.8309) * CHOOSE(CONTROL!$C$16, $D$11, 100%, $F$11)</f>
        <v>33.832599999999999</v>
      </c>
      <c r="D972" s="8">
        <f>CHOOSE( CONTROL!$C$33, 33.8514, 33.8498) * CHOOSE( CONTROL!$C$16, $D$11, 100%, $F$11)</f>
        <v>33.851399999999998</v>
      </c>
      <c r="E972" s="12">
        <f>CHOOSE( CONTROL!$C$33, 33.8434, 33.8417) * CHOOSE( CONTROL!$C$16, $D$11, 100%, $F$11)</f>
        <v>33.843400000000003</v>
      </c>
      <c r="F972" s="4">
        <f>CHOOSE( CONTROL!$C$33, 34.5521, 34.5505) * CHOOSE(CONTROL!$C$16, $D$11, 100%, $F$11)</f>
        <v>34.552100000000003</v>
      </c>
      <c r="G972" s="8">
        <f>CHOOSE( CONTROL!$C$33, 33.4576, 33.456) * CHOOSE( CONTROL!$C$16, $D$11, 100%, $F$11)</f>
        <v>33.457599999999999</v>
      </c>
      <c r="H972" s="4">
        <f>CHOOSE( CONTROL!$C$33, 34.3941, 34.3925) * CHOOSE(CONTROL!$C$16, $D$11, 100%, $F$11)</f>
        <v>34.394100000000002</v>
      </c>
      <c r="I972" s="8">
        <f>CHOOSE( CONTROL!$C$33, 32.9582, 32.9566) * CHOOSE(CONTROL!$C$16, $D$11, 100%, $F$11)</f>
        <v>32.958199999999998</v>
      </c>
      <c r="J972" s="4">
        <f>CHOOSE( CONTROL!$C$33, 32.8159, 32.8143) * CHOOSE(CONTROL!$C$16, $D$11, 100%, $F$11)</f>
        <v>32.815899999999999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1.2927</v>
      </c>
      <c r="Q972" s="9">
        <v>19.688099999999999</v>
      </c>
      <c r="R972" s="9"/>
      <c r="S972" s="11"/>
    </row>
    <row r="973" spans="1:19" ht="15.75">
      <c r="A973" s="13">
        <v>70767</v>
      </c>
      <c r="B973" s="8">
        <f>CHOOSE( CONTROL!$C$33, 33.1163, 33.1147) * CHOOSE(CONTROL!$C$16, $D$11, 100%, $F$11)</f>
        <v>33.116300000000003</v>
      </c>
      <c r="C973" s="8">
        <f>CHOOSE( CONTROL!$C$33, 33.1243, 33.1227) * CHOOSE(CONTROL!$C$16, $D$11, 100%, $F$11)</f>
        <v>33.124299999999998</v>
      </c>
      <c r="D973" s="8">
        <f>CHOOSE( CONTROL!$C$33, 33.1431, 33.1414) * CHOOSE( CONTROL!$C$16, $D$11, 100%, $F$11)</f>
        <v>33.143099999999997</v>
      </c>
      <c r="E973" s="12">
        <f>CHOOSE( CONTROL!$C$33, 33.1351, 33.1334) * CHOOSE( CONTROL!$C$16, $D$11, 100%, $F$11)</f>
        <v>33.135100000000001</v>
      </c>
      <c r="F973" s="4">
        <f>CHOOSE( CONTROL!$C$33, 33.8439, 33.8422) * CHOOSE(CONTROL!$C$16, $D$11, 100%, $F$11)</f>
        <v>33.843899999999998</v>
      </c>
      <c r="G973" s="8">
        <f>CHOOSE( CONTROL!$C$33, 32.7576, 32.756) * CHOOSE( CONTROL!$C$16, $D$11, 100%, $F$11)</f>
        <v>32.757599999999996</v>
      </c>
      <c r="H973" s="4">
        <f>CHOOSE( CONTROL!$C$33, 33.6942, 33.6925) * CHOOSE(CONTROL!$C$16, $D$11, 100%, $F$11)</f>
        <v>33.694200000000002</v>
      </c>
      <c r="I973" s="8">
        <f>CHOOSE( CONTROL!$C$33, 32.2701, 32.2685) * CHOOSE(CONTROL!$C$16, $D$11, 100%, $F$11)</f>
        <v>32.270099999999999</v>
      </c>
      <c r="J973" s="4">
        <f>CHOOSE( CONTROL!$C$33, 32.1286, 32.127) * CHOOSE(CONTROL!$C$16, $D$11, 100%, $F$11)</f>
        <v>32.128599999999999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1.2509999999999999</v>
      </c>
      <c r="Q973" s="9">
        <v>19.053000000000001</v>
      </c>
      <c r="R973" s="9"/>
      <c r="S973" s="11"/>
    </row>
    <row r="974" spans="1:19" ht="15.75">
      <c r="A974" s="13">
        <v>70798</v>
      </c>
      <c r="B974" s="8">
        <f>CHOOSE( CONTROL!$C$33, 34.5846, 34.5835) * CHOOSE(CONTROL!$C$16, $D$11, 100%, $F$11)</f>
        <v>34.584600000000002</v>
      </c>
      <c r="C974" s="8">
        <f>CHOOSE( CONTROL!$C$33, 34.5899, 34.5889) * CHOOSE(CONTROL!$C$16, $D$11, 100%, $F$11)</f>
        <v>34.5899</v>
      </c>
      <c r="D974" s="8">
        <f>CHOOSE( CONTROL!$C$33, 34.6144, 34.6133) * CHOOSE( CONTROL!$C$16, $D$11, 100%, $F$11)</f>
        <v>34.614400000000003</v>
      </c>
      <c r="E974" s="12">
        <f>CHOOSE( CONTROL!$C$33, 34.6057, 34.6047) * CHOOSE( CONTROL!$C$16, $D$11, 100%, $F$11)</f>
        <v>34.605699999999999</v>
      </c>
      <c r="F974" s="4">
        <f>CHOOSE( CONTROL!$C$33, 35.3139, 35.3128) * CHOOSE(CONTROL!$C$16, $D$11, 100%, $F$11)</f>
        <v>35.313899999999997</v>
      </c>
      <c r="G974" s="8">
        <f>CHOOSE( CONTROL!$C$33, 34.2105, 34.2095) * CHOOSE( CONTROL!$C$16, $D$11, 100%, $F$11)</f>
        <v>34.210500000000003</v>
      </c>
      <c r="H974" s="4">
        <f>CHOOSE( CONTROL!$C$33, 35.147, 35.1459) * CHOOSE(CONTROL!$C$16, $D$11, 100%, $F$11)</f>
        <v>35.146999999999998</v>
      </c>
      <c r="I974" s="8">
        <f>CHOOSE( CONTROL!$C$33, 33.6983, 33.6973) * CHOOSE(CONTROL!$C$16, $D$11, 100%, $F$11)</f>
        <v>33.698300000000003</v>
      </c>
      <c r="J974" s="4">
        <f>CHOOSE( CONTROL!$C$33, 33.5552, 33.5542) * CHOOSE(CONTROL!$C$16, $D$11, 100%, $F$11)</f>
        <v>33.555199999999999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1.2927</v>
      </c>
      <c r="Q974" s="9">
        <v>19.688099999999999</v>
      </c>
      <c r="R974" s="9"/>
      <c r="S974" s="11"/>
    </row>
    <row r="975" spans="1:19" ht="15.75">
      <c r="A975" s="13">
        <v>70828</v>
      </c>
      <c r="B975" s="8">
        <f>CHOOSE( CONTROL!$C$33, 37.2986, 37.2975) * CHOOSE(CONTROL!$C$16, $D$11, 100%, $F$11)</f>
        <v>37.2986</v>
      </c>
      <c r="C975" s="8">
        <f>CHOOSE( CONTROL!$C$33, 37.3037, 37.3026) * CHOOSE(CONTROL!$C$16, $D$11, 100%, $F$11)</f>
        <v>37.303699999999999</v>
      </c>
      <c r="D975" s="8">
        <f>CHOOSE( CONTROL!$C$33, 37.2941, 37.293) * CHOOSE( CONTROL!$C$16, $D$11, 100%, $F$11)</f>
        <v>37.2941</v>
      </c>
      <c r="E975" s="12">
        <f>CHOOSE( CONTROL!$C$33, 37.2971, 37.296) * CHOOSE( CONTROL!$C$16, $D$11, 100%, $F$11)</f>
        <v>37.2971</v>
      </c>
      <c r="F975" s="4">
        <f>CHOOSE( CONTROL!$C$33, 37.9587, 37.9576) * CHOOSE(CONTROL!$C$16, $D$11, 100%, $F$11)</f>
        <v>37.9587</v>
      </c>
      <c r="G975" s="8">
        <f>CHOOSE( CONTROL!$C$33, 36.8797, 36.8786) * CHOOSE( CONTROL!$C$16, $D$11, 100%, $F$11)</f>
        <v>36.8797</v>
      </c>
      <c r="H975" s="4">
        <f>CHOOSE( CONTROL!$C$33, 37.7608, 37.7598) * CHOOSE(CONTROL!$C$16, $D$11, 100%, $F$11)</f>
        <v>37.760800000000003</v>
      </c>
      <c r="I975" s="8">
        <f>CHOOSE( CONTROL!$C$33, 36.3933, 36.3923) * CHOOSE(CONTROL!$C$16, $D$11, 100%, $F$11)</f>
        <v>36.393300000000004</v>
      </c>
      <c r="J975" s="4">
        <f>CHOOSE( CONTROL!$C$33, 36.1895, 36.1885) * CHOOSE(CONTROL!$C$16, $D$11, 100%, $F$11)</f>
        <v>36.189500000000002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70859</v>
      </c>
      <c r="B976" s="8">
        <f>CHOOSE( CONTROL!$C$33, 37.2308, 37.2297) * CHOOSE(CONTROL!$C$16, $D$11, 100%, $F$11)</f>
        <v>37.230800000000002</v>
      </c>
      <c r="C976" s="8">
        <f>CHOOSE( CONTROL!$C$33, 37.2358, 37.2348) * CHOOSE(CONTROL!$C$16, $D$11, 100%, $F$11)</f>
        <v>37.235799999999998</v>
      </c>
      <c r="D976" s="8">
        <f>CHOOSE( CONTROL!$C$33, 37.2277, 37.2266) * CHOOSE( CONTROL!$C$16, $D$11, 100%, $F$11)</f>
        <v>37.227699999999999</v>
      </c>
      <c r="E976" s="12">
        <f>CHOOSE( CONTROL!$C$33, 37.2301, 37.2291) * CHOOSE( CONTROL!$C$16, $D$11, 100%, $F$11)</f>
        <v>37.2301</v>
      </c>
      <c r="F976" s="4">
        <f>CHOOSE( CONTROL!$C$33, 37.8909, 37.8898) * CHOOSE(CONTROL!$C$16, $D$11, 100%, $F$11)</f>
        <v>37.890900000000002</v>
      </c>
      <c r="G976" s="8">
        <f>CHOOSE( CONTROL!$C$33, 36.8137, 36.8126) * CHOOSE( CONTROL!$C$16, $D$11, 100%, $F$11)</f>
        <v>36.813699999999997</v>
      </c>
      <c r="H976" s="4">
        <f>CHOOSE( CONTROL!$C$33, 37.6938, 37.6927) * CHOOSE(CONTROL!$C$16, $D$11, 100%, $F$11)</f>
        <v>37.693800000000003</v>
      </c>
      <c r="I976" s="8">
        <f>CHOOSE( CONTROL!$C$33, 36.3319, 36.3308) * CHOOSE(CONTROL!$C$16, $D$11, 100%, $F$11)</f>
        <v>36.331899999999997</v>
      </c>
      <c r="J976" s="4">
        <f>CHOOSE( CONTROL!$C$33, 36.1237, 36.1227) * CHOOSE(CONTROL!$C$16, $D$11, 100%, $F$11)</f>
        <v>36.123699999999999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70890</v>
      </c>
      <c r="B977" s="8">
        <f>CHOOSE( CONTROL!$C$33, 38.3287, 38.3276) * CHOOSE(CONTROL!$C$16, $D$11, 100%, $F$11)</f>
        <v>38.328699999999998</v>
      </c>
      <c r="C977" s="8">
        <f>CHOOSE( CONTROL!$C$33, 38.3337, 38.3327) * CHOOSE(CONTROL!$C$16, $D$11, 100%, $F$11)</f>
        <v>38.3337</v>
      </c>
      <c r="D977" s="8">
        <f>CHOOSE( CONTROL!$C$33, 38.3364, 38.3353) * CHOOSE( CONTROL!$C$16, $D$11, 100%, $F$11)</f>
        <v>38.336399999999998</v>
      </c>
      <c r="E977" s="12">
        <f>CHOOSE( CONTROL!$C$33, 38.3349, 38.3338) * CHOOSE( CONTROL!$C$16, $D$11, 100%, $F$11)</f>
        <v>38.334899999999998</v>
      </c>
      <c r="F977" s="4">
        <f>CHOOSE( CONTROL!$C$33, 38.9888, 38.9877) * CHOOSE(CONTROL!$C$16, $D$11, 100%, $F$11)</f>
        <v>38.988799999999998</v>
      </c>
      <c r="G977" s="8">
        <f>CHOOSE( CONTROL!$C$33, 37.9016, 37.9005) * CHOOSE( CONTROL!$C$16, $D$11, 100%, $F$11)</f>
        <v>37.901600000000002</v>
      </c>
      <c r="H977" s="4">
        <f>CHOOSE( CONTROL!$C$33, 38.7788, 38.7778) * CHOOSE(CONTROL!$C$16, $D$11, 100%, $F$11)</f>
        <v>38.778799999999997</v>
      </c>
      <c r="I977" s="8">
        <f>CHOOSE( CONTROL!$C$33, 37.3694, 37.3684) * CHOOSE(CONTROL!$C$16, $D$11, 100%, $F$11)</f>
        <v>37.369399999999999</v>
      </c>
      <c r="J977" s="4">
        <f>CHOOSE( CONTROL!$C$33, 37.1892, 37.1882) * CHOOSE(CONTROL!$C$16, $D$11, 100%, $F$11)</f>
        <v>37.1892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70918</v>
      </c>
      <c r="B978" s="8">
        <f>CHOOSE( CONTROL!$C$33, 35.8514, 35.8503) * CHOOSE(CONTROL!$C$16, $D$11, 100%, $F$11)</f>
        <v>35.851399999999998</v>
      </c>
      <c r="C978" s="8">
        <f>CHOOSE( CONTROL!$C$33, 35.8565, 35.8554) * CHOOSE(CONTROL!$C$16, $D$11, 100%, $F$11)</f>
        <v>35.856499999999997</v>
      </c>
      <c r="D978" s="8">
        <f>CHOOSE( CONTROL!$C$33, 35.8591, 35.858) * CHOOSE( CONTROL!$C$16, $D$11, 100%, $F$11)</f>
        <v>35.859099999999998</v>
      </c>
      <c r="E978" s="12">
        <f>CHOOSE( CONTROL!$C$33, 35.8576, 35.8565) * CHOOSE( CONTROL!$C$16, $D$11, 100%, $F$11)</f>
        <v>35.857599999999998</v>
      </c>
      <c r="F978" s="4">
        <f>CHOOSE( CONTROL!$C$33, 36.5116, 36.5105) * CHOOSE(CONTROL!$C$16, $D$11, 100%, $F$11)</f>
        <v>36.511600000000001</v>
      </c>
      <c r="G978" s="8">
        <f>CHOOSE( CONTROL!$C$33, 35.4533, 35.4522) * CHOOSE( CONTROL!$C$16, $D$11, 100%, $F$11)</f>
        <v>35.453299999999999</v>
      </c>
      <c r="H978" s="4">
        <f>CHOOSE( CONTROL!$C$33, 36.3306, 36.3296) * CHOOSE(CONTROL!$C$16, $D$11, 100%, $F$11)</f>
        <v>36.330599999999997</v>
      </c>
      <c r="I978" s="8">
        <f>CHOOSE( CONTROL!$C$33, 34.9638, 34.9627) * CHOOSE(CONTROL!$C$16, $D$11, 100%, $F$11)</f>
        <v>34.963799999999999</v>
      </c>
      <c r="J978" s="4">
        <f>CHOOSE( CONTROL!$C$33, 34.7851, 34.784) * CHOOSE(CONTROL!$C$16, $D$11, 100%, $F$11)</f>
        <v>34.7851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70949</v>
      </c>
      <c r="B979" s="8">
        <f>CHOOSE( CONTROL!$C$33, 35.0885, 35.0874) * CHOOSE(CONTROL!$C$16, $D$11, 100%, $F$11)</f>
        <v>35.088500000000003</v>
      </c>
      <c r="C979" s="8">
        <f>CHOOSE( CONTROL!$C$33, 35.0935, 35.0924) * CHOOSE(CONTROL!$C$16, $D$11, 100%, $F$11)</f>
        <v>35.093499999999999</v>
      </c>
      <c r="D979" s="8">
        <f>CHOOSE( CONTROL!$C$33, 35.0954, 35.0943) * CHOOSE( CONTROL!$C$16, $D$11, 100%, $F$11)</f>
        <v>35.095399999999998</v>
      </c>
      <c r="E979" s="12">
        <f>CHOOSE( CONTROL!$C$33, 35.0942, 35.0931) * CHOOSE( CONTROL!$C$16, $D$11, 100%, $F$11)</f>
        <v>35.094200000000001</v>
      </c>
      <c r="F979" s="4">
        <f>CHOOSE( CONTROL!$C$33, 35.7486, 35.7475) * CHOOSE(CONTROL!$C$16, $D$11, 100%, $F$11)</f>
        <v>35.748600000000003</v>
      </c>
      <c r="G979" s="8">
        <f>CHOOSE( CONTROL!$C$33, 34.6988, 34.6977) * CHOOSE( CONTROL!$C$16, $D$11, 100%, $F$11)</f>
        <v>34.698799999999999</v>
      </c>
      <c r="H979" s="4">
        <f>CHOOSE( CONTROL!$C$33, 35.5766, 35.5755) * CHOOSE(CONTROL!$C$16, $D$11, 100%, $F$11)</f>
        <v>35.576599999999999</v>
      </c>
      <c r="I979" s="8">
        <f>CHOOSE( CONTROL!$C$33, 34.2208, 34.2198) * CHOOSE(CONTROL!$C$16, $D$11, 100%, $F$11)</f>
        <v>34.220799999999997</v>
      </c>
      <c r="J979" s="4">
        <f>CHOOSE( CONTROL!$C$33, 34.0446, 34.0435) * CHOOSE(CONTROL!$C$16, $D$11, 100%, $F$11)</f>
        <v>34.044600000000003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70979</v>
      </c>
      <c r="B980" s="8">
        <f>CHOOSE( CONTROL!$C$33, 35.6224, 35.6213) * CHOOSE(CONTROL!$C$16, $D$11, 100%, $F$11)</f>
        <v>35.622399999999999</v>
      </c>
      <c r="C980" s="8">
        <f>CHOOSE( CONTROL!$C$33, 35.6269, 35.6258) * CHOOSE(CONTROL!$C$16, $D$11, 100%, $F$11)</f>
        <v>35.626899999999999</v>
      </c>
      <c r="D980" s="8">
        <f>CHOOSE( CONTROL!$C$33, 35.6512, 35.6502) * CHOOSE( CONTROL!$C$16, $D$11, 100%, $F$11)</f>
        <v>35.651200000000003</v>
      </c>
      <c r="E980" s="12">
        <f>CHOOSE( CONTROL!$C$33, 35.6427, 35.6416) * CHOOSE( CONTROL!$C$16, $D$11, 100%, $F$11)</f>
        <v>35.642699999999998</v>
      </c>
      <c r="F980" s="4">
        <f>CHOOSE( CONTROL!$C$33, 36.3513, 36.3502) * CHOOSE(CONTROL!$C$16, $D$11, 100%, $F$11)</f>
        <v>36.351300000000002</v>
      </c>
      <c r="G980" s="8">
        <f>CHOOSE( CONTROL!$C$33, 35.2354, 35.2343) * CHOOSE( CONTROL!$C$16, $D$11, 100%, $F$11)</f>
        <v>35.235399999999998</v>
      </c>
      <c r="H980" s="4">
        <f>CHOOSE( CONTROL!$C$33, 36.1722, 36.1712) * CHOOSE(CONTROL!$C$16, $D$11, 100%, $F$11)</f>
        <v>36.172199999999997</v>
      </c>
      <c r="I980" s="8">
        <f>CHOOSE( CONTROL!$C$33, 34.7038, 34.7027) * CHOOSE(CONTROL!$C$16, $D$11, 100%, $F$11)</f>
        <v>34.703800000000001</v>
      </c>
      <c r="J980" s="4">
        <f>CHOOSE( CONTROL!$C$33, 34.562, 34.561) * CHOOSE(CONTROL!$C$16, $D$11, 100%, $F$11)</f>
        <v>34.561999999999998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1.2509999999999999</v>
      </c>
      <c r="Q980" s="9">
        <v>19.053000000000001</v>
      </c>
      <c r="R980" s="9"/>
      <c r="S980" s="11"/>
    </row>
    <row r="981" spans="1:19" ht="15.75">
      <c r="A981" s="13">
        <v>71010</v>
      </c>
      <c r="B981" s="8">
        <f>CHOOSE( CONTROL!$C$33, 36.5732, 36.5715) * CHOOSE(CONTROL!$C$16, $D$11, 100%, $F$11)</f>
        <v>36.5732</v>
      </c>
      <c r="C981" s="8">
        <f>CHOOSE( CONTROL!$C$33, 36.5812, 36.5795) * CHOOSE(CONTROL!$C$16, $D$11, 100%, $F$11)</f>
        <v>36.581200000000003</v>
      </c>
      <c r="D981" s="8">
        <f>CHOOSE( CONTROL!$C$33, 36.5995, 36.5978) * CHOOSE( CONTROL!$C$16, $D$11, 100%, $F$11)</f>
        <v>36.599499999999999</v>
      </c>
      <c r="E981" s="12">
        <f>CHOOSE( CONTROL!$C$33, 36.5916, 36.5899) * CHOOSE( CONTROL!$C$16, $D$11, 100%, $F$11)</f>
        <v>36.5916</v>
      </c>
      <c r="F981" s="4">
        <f>CHOOSE( CONTROL!$C$33, 37.3007, 37.2991) * CHOOSE(CONTROL!$C$16, $D$11, 100%, $F$11)</f>
        <v>37.300699999999999</v>
      </c>
      <c r="G981" s="8">
        <f>CHOOSE( CONTROL!$C$33, 36.1736, 36.172) * CHOOSE( CONTROL!$C$16, $D$11, 100%, $F$11)</f>
        <v>36.1736</v>
      </c>
      <c r="H981" s="4">
        <f>CHOOSE( CONTROL!$C$33, 37.1106, 37.1089) * CHOOSE(CONTROL!$C$16, $D$11, 100%, $F$11)</f>
        <v>37.110599999999998</v>
      </c>
      <c r="I981" s="8">
        <f>CHOOSE( CONTROL!$C$33, 35.6251, 35.6235) * CHOOSE(CONTROL!$C$16, $D$11, 100%, $F$11)</f>
        <v>35.625100000000003</v>
      </c>
      <c r="J981" s="4">
        <f>CHOOSE( CONTROL!$C$33, 35.4835, 35.4819) * CHOOSE(CONTROL!$C$16, $D$11, 100%, $F$11)</f>
        <v>35.483499999999999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1.2927</v>
      </c>
      <c r="Q981" s="9">
        <v>19.688099999999999</v>
      </c>
      <c r="R981" s="9"/>
      <c r="S981" s="11"/>
    </row>
    <row r="982" spans="1:19" ht="15.75">
      <c r="A982" s="13">
        <v>71040</v>
      </c>
      <c r="B982" s="8">
        <f>CHOOSE( CONTROL!$C$33, 35.9854, 35.9837) * CHOOSE(CONTROL!$C$16, $D$11, 100%, $F$11)</f>
        <v>35.985399999999998</v>
      </c>
      <c r="C982" s="8">
        <f>CHOOSE( CONTROL!$C$33, 35.9934, 35.9917) * CHOOSE(CONTROL!$C$16, $D$11, 100%, $F$11)</f>
        <v>35.993400000000001</v>
      </c>
      <c r="D982" s="8">
        <f>CHOOSE( CONTROL!$C$33, 36.0119, 36.0103) * CHOOSE( CONTROL!$C$16, $D$11, 100%, $F$11)</f>
        <v>36.011899999999997</v>
      </c>
      <c r="E982" s="12">
        <f>CHOOSE( CONTROL!$C$33, 36.004, 36.0023) * CHOOSE( CONTROL!$C$16, $D$11, 100%, $F$11)</f>
        <v>36.003999999999998</v>
      </c>
      <c r="F982" s="4">
        <f>CHOOSE( CONTROL!$C$33, 36.7129, 36.7113) * CHOOSE(CONTROL!$C$16, $D$11, 100%, $F$11)</f>
        <v>36.712899999999998</v>
      </c>
      <c r="G982" s="8">
        <f>CHOOSE( CONTROL!$C$33, 35.5929, 35.5912) * CHOOSE( CONTROL!$C$16, $D$11, 100%, $F$11)</f>
        <v>35.5929</v>
      </c>
      <c r="H982" s="4">
        <f>CHOOSE( CONTROL!$C$33, 36.5296, 36.528) * CHOOSE(CONTROL!$C$16, $D$11, 100%, $F$11)</f>
        <v>36.529600000000002</v>
      </c>
      <c r="I982" s="8">
        <f>CHOOSE( CONTROL!$C$33, 35.0552, 35.0535) * CHOOSE(CONTROL!$C$16, $D$11, 100%, $F$11)</f>
        <v>35.055199999999999</v>
      </c>
      <c r="J982" s="4">
        <f>CHOOSE( CONTROL!$C$33, 34.913, 34.9114) * CHOOSE(CONTROL!$C$16, $D$11, 100%, $F$11)</f>
        <v>34.912999999999997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1.2509999999999999</v>
      </c>
      <c r="Q982" s="9">
        <v>19.053000000000001</v>
      </c>
      <c r="R982" s="9"/>
      <c r="S982" s="11"/>
    </row>
    <row r="983" spans="1:19" ht="15.75">
      <c r="A983" s="13">
        <v>71071</v>
      </c>
      <c r="B983" s="8">
        <f>CHOOSE( CONTROL!$C$33, 37.5333, 37.5316) * CHOOSE(CONTROL!$C$16, $D$11, 100%, $F$11)</f>
        <v>37.533299999999997</v>
      </c>
      <c r="C983" s="8">
        <f>CHOOSE( CONTROL!$C$33, 37.5413, 37.5396) * CHOOSE(CONTROL!$C$16, $D$11, 100%, $F$11)</f>
        <v>37.5413</v>
      </c>
      <c r="D983" s="8">
        <f>CHOOSE( CONTROL!$C$33, 37.5601, 37.5584) * CHOOSE( CONTROL!$C$16, $D$11, 100%, $F$11)</f>
        <v>37.560099999999998</v>
      </c>
      <c r="E983" s="12">
        <f>CHOOSE( CONTROL!$C$33, 37.5521, 37.5504) * CHOOSE( CONTROL!$C$16, $D$11, 100%, $F$11)</f>
        <v>37.552100000000003</v>
      </c>
      <c r="F983" s="4">
        <f>CHOOSE( CONTROL!$C$33, 38.2609, 38.2592) * CHOOSE(CONTROL!$C$16, $D$11, 100%, $F$11)</f>
        <v>38.260899999999999</v>
      </c>
      <c r="G983" s="8">
        <f>CHOOSE( CONTROL!$C$33, 37.1229, 37.1212) * CHOOSE( CONTROL!$C$16, $D$11, 100%, $F$11)</f>
        <v>37.122900000000001</v>
      </c>
      <c r="H983" s="4">
        <f>CHOOSE( CONTROL!$C$33, 38.0594, 38.0578) * CHOOSE(CONTROL!$C$16, $D$11, 100%, $F$11)</f>
        <v>38.059399999999997</v>
      </c>
      <c r="I983" s="8">
        <f>CHOOSE( CONTROL!$C$33, 36.559, 36.5574) * CHOOSE(CONTROL!$C$16, $D$11, 100%, $F$11)</f>
        <v>36.558999999999997</v>
      </c>
      <c r="J983" s="4">
        <f>CHOOSE( CONTROL!$C$33, 36.4153, 36.4136) * CHOOSE(CONTROL!$C$16, $D$11, 100%, $F$11)</f>
        <v>36.415300000000002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1.2927</v>
      </c>
      <c r="Q983" s="9">
        <v>19.688099999999999</v>
      </c>
      <c r="R983" s="9"/>
      <c r="S983" s="11"/>
    </row>
    <row r="984" spans="1:19" ht="15.75">
      <c r="A984" s="13">
        <v>71102</v>
      </c>
      <c r="B984" s="8">
        <f>CHOOSE( CONTROL!$C$33, 34.637, 34.6353) * CHOOSE(CONTROL!$C$16, $D$11, 100%, $F$11)</f>
        <v>34.637</v>
      </c>
      <c r="C984" s="8">
        <f>CHOOSE( CONTROL!$C$33, 34.645, 34.6433) * CHOOSE(CONTROL!$C$16, $D$11, 100%, $F$11)</f>
        <v>34.645000000000003</v>
      </c>
      <c r="D984" s="8">
        <f>CHOOSE( CONTROL!$C$33, 34.6638, 34.6622) * CHOOSE( CONTROL!$C$16, $D$11, 100%, $F$11)</f>
        <v>34.663800000000002</v>
      </c>
      <c r="E984" s="12">
        <f>CHOOSE( CONTROL!$C$33, 34.6558, 34.6541) * CHOOSE( CONTROL!$C$16, $D$11, 100%, $F$11)</f>
        <v>34.655799999999999</v>
      </c>
      <c r="F984" s="4">
        <f>CHOOSE( CONTROL!$C$33, 35.3645, 35.3629) * CHOOSE(CONTROL!$C$16, $D$11, 100%, $F$11)</f>
        <v>35.3645</v>
      </c>
      <c r="G984" s="8">
        <f>CHOOSE( CONTROL!$C$33, 34.2605, 34.2589) * CHOOSE( CONTROL!$C$16, $D$11, 100%, $F$11)</f>
        <v>34.2605</v>
      </c>
      <c r="H984" s="4">
        <f>CHOOSE( CONTROL!$C$33, 35.197, 35.1954) * CHOOSE(CONTROL!$C$16, $D$11, 100%, $F$11)</f>
        <v>35.197000000000003</v>
      </c>
      <c r="I984" s="8">
        <f>CHOOSE( CONTROL!$C$33, 33.747, 33.7454) * CHOOSE(CONTROL!$C$16, $D$11, 100%, $F$11)</f>
        <v>33.747</v>
      </c>
      <c r="J984" s="4">
        <f>CHOOSE( CONTROL!$C$33, 33.6044, 33.6028) * CHOOSE(CONTROL!$C$16, $D$11, 100%, $F$11)</f>
        <v>33.604399999999998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1.2927</v>
      </c>
      <c r="Q984" s="9">
        <v>19.688099999999999</v>
      </c>
      <c r="R984" s="9"/>
      <c r="S984" s="11"/>
    </row>
    <row r="985" spans="1:19" ht="15.75">
      <c r="A985" s="13">
        <v>71132</v>
      </c>
      <c r="B985" s="8">
        <f>CHOOSE( CONTROL!$C$33, 33.9117, 33.9101) * CHOOSE(CONTROL!$C$16, $D$11, 100%, $F$11)</f>
        <v>33.911700000000003</v>
      </c>
      <c r="C985" s="8">
        <f>CHOOSE( CONTROL!$C$33, 33.9197, 33.918) * CHOOSE(CONTROL!$C$16, $D$11, 100%, $F$11)</f>
        <v>33.919699999999999</v>
      </c>
      <c r="D985" s="8">
        <f>CHOOSE( CONTROL!$C$33, 33.9385, 33.9368) * CHOOSE( CONTROL!$C$16, $D$11, 100%, $F$11)</f>
        <v>33.938499999999998</v>
      </c>
      <c r="E985" s="12">
        <f>CHOOSE( CONTROL!$C$33, 33.9305, 33.9288) * CHOOSE( CONTROL!$C$16, $D$11, 100%, $F$11)</f>
        <v>33.930500000000002</v>
      </c>
      <c r="F985" s="4">
        <f>CHOOSE( CONTROL!$C$33, 34.6393, 34.6376) * CHOOSE(CONTROL!$C$16, $D$11, 100%, $F$11)</f>
        <v>34.639299999999999</v>
      </c>
      <c r="G985" s="8">
        <f>CHOOSE( CONTROL!$C$33, 33.5437, 33.542) * CHOOSE( CONTROL!$C$16, $D$11, 100%, $F$11)</f>
        <v>33.543700000000001</v>
      </c>
      <c r="H985" s="4">
        <f>CHOOSE( CONTROL!$C$33, 34.4803, 34.4786) * CHOOSE(CONTROL!$C$16, $D$11, 100%, $F$11)</f>
        <v>34.4803</v>
      </c>
      <c r="I985" s="8">
        <f>CHOOSE( CONTROL!$C$33, 33.0424, 33.0408) * CHOOSE(CONTROL!$C$16, $D$11, 100%, $F$11)</f>
        <v>33.042400000000001</v>
      </c>
      <c r="J985" s="4">
        <f>CHOOSE( CONTROL!$C$33, 32.9005, 32.8989) * CHOOSE(CONTROL!$C$16, $D$11, 100%, $F$11)</f>
        <v>32.900500000000001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1.2509999999999999</v>
      </c>
      <c r="Q985" s="9">
        <v>19.053000000000001</v>
      </c>
      <c r="R985" s="9"/>
      <c r="S985" s="11"/>
    </row>
    <row r="986" spans="1:19" ht="15.75">
      <c r="A986" s="13">
        <v>71163</v>
      </c>
      <c r="B986" s="8">
        <f>CHOOSE( CONTROL!$C$33, 35.4153, 35.4143) * CHOOSE(CONTROL!$C$16, $D$11, 100%, $F$11)</f>
        <v>35.415300000000002</v>
      </c>
      <c r="C986" s="8">
        <f>CHOOSE( CONTROL!$C$33, 35.4207, 35.4196) * CHOOSE(CONTROL!$C$16, $D$11, 100%, $F$11)</f>
        <v>35.420699999999997</v>
      </c>
      <c r="D986" s="8">
        <f>CHOOSE( CONTROL!$C$33, 35.4451, 35.444) * CHOOSE( CONTROL!$C$16, $D$11, 100%, $F$11)</f>
        <v>35.445099999999996</v>
      </c>
      <c r="E986" s="12">
        <f>CHOOSE( CONTROL!$C$33, 35.4365, 35.4354) * CHOOSE( CONTROL!$C$16, $D$11, 100%, $F$11)</f>
        <v>35.436500000000002</v>
      </c>
      <c r="F986" s="4">
        <f>CHOOSE( CONTROL!$C$33, 36.1446, 36.1435) * CHOOSE(CONTROL!$C$16, $D$11, 100%, $F$11)</f>
        <v>36.144599999999997</v>
      </c>
      <c r="G986" s="8">
        <f>CHOOSE( CONTROL!$C$33, 35.0315, 35.0305) * CHOOSE( CONTROL!$C$16, $D$11, 100%, $F$11)</f>
        <v>35.031500000000001</v>
      </c>
      <c r="H986" s="4">
        <f>CHOOSE( CONTROL!$C$33, 35.968, 35.9669) * CHOOSE(CONTROL!$C$16, $D$11, 100%, $F$11)</f>
        <v>35.968000000000004</v>
      </c>
      <c r="I986" s="8">
        <f>CHOOSE( CONTROL!$C$33, 34.505, 34.5039) * CHOOSE(CONTROL!$C$16, $D$11, 100%, $F$11)</f>
        <v>34.505000000000003</v>
      </c>
      <c r="J986" s="4">
        <f>CHOOSE( CONTROL!$C$33, 34.3614, 34.3604) * CHOOSE(CONTROL!$C$16, $D$11, 100%, $F$11)</f>
        <v>34.361400000000003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1.2927</v>
      </c>
      <c r="Q986" s="9">
        <v>19.688099999999999</v>
      </c>
      <c r="R986" s="9"/>
      <c r="S986" s="11"/>
    </row>
    <row r="987" spans="1:19" ht="15.75">
      <c r="A987" s="13">
        <v>71193</v>
      </c>
      <c r="B987" s="8">
        <f>CHOOSE( CONTROL!$C$33, 38.1945, 38.1935) * CHOOSE(CONTROL!$C$16, $D$11, 100%, $F$11)</f>
        <v>38.194499999999998</v>
      </c>
      <c r="C987" s="8">
        <f>CHOOSE( CONTROL!$C$33, 38.1996, 38.1985) * CHOOSE(CONTROL!$C$16, $D$11, 100%, $F$11)</f>
        <v>38.199599999999997</v>
      </c>
      <c r="D987" s="8">
        <f>CHOOSE( CONTROL!$C$33, 38.19, 38.1889) * CHOOSE( CONTROL!$C$16, $D$11, 100%, $F$11)</f>
        <v>38.19</v>
      </c>
      <c r="E987" s="12">
        <f>CHOOSE( CONTROL!$C$33, 38.193, 38.1919) * CHOOSE( CONTROL!$C$16, $D$11, 100%, $F$11)</f>
        <v>38.192999999999998</v>
      </c>
      <c r="F987" s="4">
        <f>CHOOSE( CONTROL!$C$33, 38.8547, 38.8536) * CHOOSE(CONTROL!$C$16, $D$11, 100%, $F$11)</f>
        <v>38.854700000000001</v>
      </c>
      <c r="G987" s="8">
        <f>CHOOSE( CONTROL!$C$33, 37.7652, 37.7641) * CHOOSE( CONTROL!$C$16, $D$11, 100%, $F$11)</f>
        <v>37.7652</v>
      </c>
      <c r="H987" s="4">
        <f>CHOOSE( CONTROL!$C$33, 38.6463, 38.6452) * CHOOSE(CONTROL!$C$16, $D$11, 100%, $F$11)</f>
        <v>38.646299999999997</v>
      </c>
      <c r="I987" s="8">
        <f>CHOOSE( CONTROL!$C$33, 37.2633, 37.2622) * CHOOSE(CONTROL!$C$16, $D$11, 100%, $F$11)</f>
        <v>37.263300000000001</v>
      </c>
      <c r="J987" s="4">
        <f>CHOOSE( CONTROL!$C$33, 37.059, 37.058) * CHOOSE(CONTROL!$C$16, $D$11, 100%, $F$11)</f>
        <v>37.058999999999997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71224</v>
      </c>
      <c r="B988" s="8">
        <f>CHOOSE( CONTROL!$C$33, 38.1251, 38.124) * CHOOSE(CONTROL!$C$16, $D$11, 100%, $F$11)</f>
        <v>38.125100000000003</v>
      </c>
      <c r="C988" s="8">
        <f>CHOOSE( CONTROL!$C$33, 38.1302, 38.1291) * CHOOSE(CONTROL!$C$16, $D$11, 100%, $F$11)</f>
        <v>38.130200000000002</v>
      </c>
      <c r="D988" s="8">
        <f>CHOOSE( CONTROL!$C$33, 38.122, 38.1209) * CHOOSE( CONTROL!$C$16, $D$11, 100%, $F$11)</f>
        <v>38.122</v>
      </c>
      <c r="E988" s="12">
        <f>CHOOSE( CONTROL!$C$33, 38.1245, 38.1234) * CHOOSE( CONTROL!$C$16, $D$11, 100%, $F$11)</f>
        <v>38.124499999999998</v>
      </c>
      <c r="F988" s="4">
        <f>CHOOSE( CONTROL!$C$33, 38.7852, 38.7841) * CHOOSE(CONTROL!$C$16, $D$11, 100%, $F$11)</f>
        <v>38.785200000000003</v>
      </c>
      <c r="G988" s="8">
        <f>CHOOSE( CONTROL!$C$33, 37.6975, 37.6965) * CHOOSE( CONTROL!$C$16, $D$11, 100%, $F$11)</f>
        <v>37.697499999999998</v>
      </c>
      <c r="H988" s="4">
        <f>CHOOSE( CONTROL!$C$33, 38.5777, 38.5766) * CHOOSE(CONTROL!$C$16, $D$11, 100%, $F$11)</f>
        <v>38.5777</v>
      </c>
      <c r="I988" s="8">
        <f>CHOOSE( CONTROL!$C$33, 37.2003, 37.1992) * CHOOSE(CONTROL!$C$16, $D$11, 100%, $F$11)</f>
        <v>37.200299999999999</v>
      </c>
      <c r="J988" s="4">
        <f>CHOOSE( CONTROL!$C$33, 36.9916, 36.9906) * CHOOSE(CONTROL!$C$16, $D$11, 100%, $F$11)</f>
        <v>36.991599999999998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71255</v>
      </c>
      <c r="B989" s="8">
        <f>CHOOSE( CONTROL!$C$33, 39.2494, 39.2483) * CHOOSE(CONTROL!$C$16, $D$11, 100%, $F$11)</f>
        <v>39.249400000000001</v>
      </c>
      <c r="C989" s="8">
        <f>CHOOSE( CONTROL!$C$33, 39.2544, 39.2533) * CHOOSE(CONTROL!$C$16, $D$11, 100%, $F$11)</f>
        <v>39.254399999999997</v>
      </c>
      <c r="D989" s="8">
        <f>CHOOSE( CONTROL!$C$33, 39.2571, 39.256) * CHOOSE( CONTROL!$C$16, $D$11, 100%, $F$11)</f>
        <v>39.257100000000001</v>
      </c>
      <c r="E989" s="12">
        <f>CHOOSE( CONTROL!$C$33, 39.2556, 39.2545) * CHOOSE( CONTROL!$C$16, $D$11, 100%, $F$11)</f>
        <v>39.255600000000001</v>
      </c>
      <c r="F989" s="4">
        <f>CHOOSE( CONTROL!$C$33, 39.9095, 39.9084) * CHOOSE(CONTROL!$C$16, $D$11, 100%, $F$11)</f>
        <v>39.909500000000001</v>
      </c>
      <c r="G989" s="8">
        <f>CHOOSE( CONTROL!$C$33, 38.8115, 38.8104) * CHOOSE( CONTROL!$C$16, $D$11, 100%, $F$11)</f>
        <v>38.811500000000002</v>
      </c>
      <c r="H989" s="4">
        <f>CHOOSE( CONTROL!$C$33, 39.6888, 39.6877) * CHOOSE(CONTROL!$C$16, $D$11, 100%, $F$11)</f>
        <v>39.688800000000001</v>
      </c>
      <c r="I989" s="8">
        <f>CHOOSE( CONTROL!$C$33, 38.2634, 38.2623) * CHOOSE(CONTROL!$C$16, $D$11, 100%, $F$11)</f>
        <v>38.263399999999997</v>
      </c>
      <c r="J989" s="4">
        <f>CHOOSE( CONTROL!$C$33, 38.0827, 38.0817) * CHOOSE(CONTROL!$C$16, $D$11, 100%, $F$11)</f>
        <v>38.082700000000003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71283</v>
      </c>
      <c r="B990" s="8">
        <f>CHOOSE( CONTROL!$C$33, 36.7126, 36.7115) * CHOOSE(CONTROL!$C$16, $D$11, 100%, $F$11)</f>
        <v>36.712600000000002</v>
      </c>
      <c r="C990" s="8">
        <f>CHOOSE( CONTROL!$C$33, 36.7177, 36.7166) * CHOOSE(CONTROL!$C$16, $D$11, 100%, $F$11)</f>
        <v>36.717700000000001</v>
      </c>
      <c r="D990" s="8">
        <f>CHOOSE( CONTROL!$C$33, 36.7202, 36.7192) * CHOOSE( CONTROL!$C$16, $D$11, 100%, $F$11)</f>
        <v>36.720199999999998</v>
      </c>
      <c r="E990" s="12">
        <f>CHOOSE( CONTROL!$C$33, 36.7187, 36.7177) * CHOOSE( CONTROL!$C$16, $D$11, 100%, $F$11)</f>
        <v>36.718699999999998</v>
      </c>
      <c r="F990" s="4">
        <f>CHOOSE( CONTROL!$C$33, 37.3727, 37.3717) * CHOOSE(CONTROL!$C$16, $D$11, 100%, $F$11)</f>
        <v>37.372700000000002</v>
      </c>
      <c r="G990" s="8">
        <f>CHOOSE( CONTROL!$C$33, 36.3044, 36.3033) * CHOOSE( CONTROL!$C$16, $D$11, 100%, $F$11)</f>
        <v>36.304400000000001</v>
      </c>
      <c r="H990" s="4">
        <f>CHOOSE( CONTROL!$C$33, 37.1817, 37.1806) * CHOOSE(CONTROL!$C$16, $D$11, 100%, $F$11)</f>
        <v>37.181699999999999</v>
      </c>
      <c r="I990" s="8">
        <f>CHOOSE( CONTROL!$C$33, 35.8, 35.7989) * CHOOSE(CONTROL!$C$16, $D$11, 100%, $F$11)</f>
        <v>35.799999999999997</v>
      </c>
      <c r="J990" s="4">
        <f>CHOOSE( CONTROL!$C$33, 35.6208, 35.6198) * CHOOSE(CONTROL!$C$16, $D$11, 100%, $F$11)</f>
        <v>35.620800000000003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71314</v>
      </c>
      <c r="B991" s="8">
        <f>CHOOSE( CONTROL!$C$33, 35.9313, 35.9302) * CHOOSE(CONTROL!$C$16, $D$11, 100%, $F$11)</f>
        <v>35.9313</v>
      </c>
      <c r="C991" s="8">
        <f>CHOOSE( CONTROL!$C$33, 35.9364, 35.9353) * CHOOSE(CONTROL!$C$16, $D$11, 100%, $F$11)</f>
        <v>35.936399999999999</v>
      </c>
      <c r="D991" s="8">
        <f>CHOOSE( CONTROL!$C$33, 35.9382, 35.9372) * CHOOSE( CONTROL!$C$16, $D$11, 100%, $F$11)</f>
        <v>35.938200000000002</v>
      </c>
      <c r="E991" s="12">
        <f>CHOOSE( CONTROL!$C$33, 35.937, 35.936) * CHOOSE( CONTROL!$C$16, $D$11, 100%, $F$11)</f>
        <v>35.936999999999998</v>
      </c>
      <c r="F991" s="4">
        <f>CHOOSE( CONTROL!$C$33, 36.5914, 36.5903) * CHOOSE(CONTROL!$C$16, $D$11, 100%, $F$11)</f>
        <v>36.5914</v>
      </c>
      <c r="G991" s="8">
        <f>CHOOSE( CONTROL!$C$33, 35.5317, 35.5307) * CHOOSE( CONTROL!$C$16, $D$11, 100%, $F$11)</f>
        <v>35.531700000000001</v>
      </c>
      <c r="H991" s="4">
        <f>CHOOSE( CONTROL!$C$33, 36.4096, 36.4085) * CHOOSE(CONTROL!$C$16, $D$11, 100%, $F$11)</f>
        <v>36.409599999999998</v>
      </c>
      <c r="I991" s="8">
        <f>CHOOSE( CONTROL!$C$33, 35.0392, 35.0382) * CHOOSE(CONTROL!$C$16, $D$11, 100%, $F$11)</f>
        <v>35.039200000000001</v>
      </c>
      <c r="J991" s="4">
        <f>CHOOSE( CONTROL!$C$33, 34.8626, 34.8615) * CHOOSE(CONTROL!$C$16, $D$11, 100%, $F$11)</f>
        <v>34.8626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71344</v>
      </c>
      <c r="B992" s="8">
        <f>CHOOSE( CONTROL!$C$33, 36.478, 36.4769) * CHOOSE(CONTROL!$C$16, $D$11, 100%, $F$11)</f>
        <v>36.478000000000002</v>
      </c>
      <c r="C992" s="8">
        <f>CHOOSE( CONTROL!$C$33, 36.4825, 36.4814) * CHOOSE(CONTROL!$C$16, $D$11, 100%, $F$11)</f>
        <v>36.482500000000002</v>
      </c>
      <c r="D992" s="8">
        <f>CHOOSE( CONTROL!$C$33, 36.5069, 36.5058) * CHOOSE( CONTROL!$C$16, $D$11, 100%, $F$11)</f>
        <v>36.506900000000002</v>
      </c>
      <c r="E992" s="12">
        <f>CHOOSE( CONTROL!$C$33, 36.4983, 36.4972) * CHOOSE( CONTROL!$C$16, $D$11, 100%, $F$11)</f>
        <v>36.4983</v>
      </c>
      <c r="F992" s="4">
        <f>CHOOSE( CONTROL!$C$33, 37.2069, 37.2059) * CHOOSE(CONTROL!$C$16, $D$11, 100%, $F$11)</f>
        <v>37.206899999999997</v>
      </c>
      <c r="G992" s="8">
        <f>CHOOSE( CONTROL!$C$33, 36.081, 36.0799) * CHOOSE( CONTROL!$C$16, $D$11, 100%, $F$11)</f>
        <v>36.081000000000003</v>
      </c>
      <c r="H992" s="4">
        <f>CHOOSE( CONTROL!$C$33, 37.0179, 37.0168) * CHOOSE(CONTROL!$C$16, $D$11, 100%, $F$11)</f>
        <v>37.017899999999997</v>
      </c>
      <c r="I992" s="8">
        <f>CHOOSE( CONTROL!$C$33, 35.5346, 35.5335) * CHOOSE(CONTROL!$C$16, $D$11, 100%, $F$11)</f>
        <v>35.534599999999998</v>
      </c>
      <c r="J992" s="4">
        <f>CHOOSE( CONTROL!$C$33, 35.3924, 35.3914) * CHOOSE(CONTROL!$C$16, $D$11, 100%, $F$11)</f>
        <v>35.392400000000002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1.2509999999999999</v>
      </c>
      <c r="Q992" s="9">
        <v>19.053000000000001</v>
      </c>
      <c r="R992" s="9"/>
      <c r="S992" s="11"/>
    </row>
    <row r="993" spans="1:19" ht="15.75">
      <c r="A993" s="13">
        <v>71375</v>
      </c>
      <c r="B993" s="8">
        <f>CHOOSE( CONTROL!$C$33, 37.4517, 37.45) * CHOOSE(CONTROL!$C$16, $D$11, 100%, $F$11)</f>
        <v>37.451700000000002</v>
      </c>
      <c r="C993" s="8">
        <f>CHOOSE( CONTROL!$C$33, 37.4596, 37.458) * CHOOSE(CONTROL!$C$16, $D$11, 100%, $F$11)</f>
        <v>37.459600000000002</v>
      </c>
      <c r="D993" s="8">
        <f>CHOOSE( CONTROL!$C$33, 37.4779, 37.4763) * CHOOSE( CONTROL!$C$16, $D$11, 100%, $F$11)</f>
        <v>37.477899999999998</v>
      </c>
      <c r="E993" s="12">
        <f>CHOOSE( CONTROL!$C$33, 37.4701, 37.4684) * CHOOSE( CONTROL!$C$16, $D$11, 100%, $F$11)</f>
        <v>37.470100000000002</v>
      </c>
      <c r="F993" s="4">
        <f>CHOOSE( CONTROL!$C$33, 38.1792, 38.1775) * CHOOSE(CONTROL!$C$16, $D$11, 100%, $F$11)</f>
        <v>38.179200000000002</v>
      </c>
      <c r="G993" s="8">
        <f>CHOOSE( CONTROL!$C$33, 37.0418, 37.0401) * CHOOSE( CONTROL!$C$16, $D$11, 100%, $F$11)</f>
        <v>37.041800000000002</v>
      </c>
      <c r="H993" s="4">
        <f>CHOOSE( CONTROL!$C$33, 37.9787, 37.9771) * CHOOSE(CONTROL!$C$16, $D$11, 100%, $F$11)</f>
        <v>37.978700000000003</v>
      </c>
      <c r="I993" s="8">
        <f>CHOOSE( CONTROL!$C$33, 36.478, 36.4764) * CHOOSE(CONTROL!$C$16, $D$11, 100%, $F$11)</f>
        <v>36.478000000000002</v>
      </c>
      <c r="J993" s="4">
        <f>CHOOSE( CONTROL!$C$33, 36.336, 36.3344) * CHOOSE(CONTROL!$C$16, $D$11, 100%, $F$11)</f>
        <v>36.335999999999999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1.2927</v>
      </c>
      <c r="Q993" s="9">
        <v>19.688099999999999</v>
      </c>
      <c r="R993" s="9"/>
      <c r="S993" s="11"/>
    </row>
    <row r="994" spans="1:19" ht="15.75">
      <c r="A994" s="13">
        <v>71405</v>
      </c>
      <c r="B994" s="8">
        <f>CHOOSE( CONTROL!$C$33, 36.8497, 36.8481) * CHOOSE(CONTROL!$C$16, $D$11, 100%, $F$11)</f>
        <v>36.849699999999999</v>
      </c>
      <c r="C994" s="8">
        <f>CHOOSE( CONTROL!$C$33, 36.8577, 36.856) * CHOOSE(CONTROL!$C$16, $D$11, 100%, $F$11)</f>
        <v>36.857700000000001</v>
      </c>
      <c r="D994" s="8">
        <f>CHOOSE( CONTROL!$C$33, 36.8762, 36.8746) * CHOOSE( CONTROL!$C$16, $D$11, 100%, $F$11)</f>
        <v>36.876199999999997</v>
      </c>
      <c r="E994" s="12">
        <f>CHOOSE( CONTROL!$C$33, 36.8683, 36.8667) * CHOOSE( CONTROL!$C$16, $D$11, 100%, $F$11)</f>
        <v>36.868299999999998</v>
      </c>
      <c r="F994" s="4">
        <f>CHOOSE( CONTROL!$C$33, 37.5773, 37.5756) * CHOOSE(CONTROL!$C$16, $D$11, 100%, $F$11)</f>
        <v>37.577300000000001</v>
      </c>
      <c r="G994" s="8">
        <f>CHOOSE( CONTROL!$C$33, 36.4471, 36.4454) * CHOOSE( CONTROL!$C$16, $D$11, 100%, $F$11)</f>
        <v>36.447099999999999</v>
      </c>
      <c r="H994" s="4">
        <f>CHOOSE( CONTROL!$C$33, 37.3839, 37.3822) * CHOOSE(CONTROL!$C$16, $D$11, 100%, $F$11)</f>
        <v>37.383899999999997</v>
      </c>
      <c r="I994" s="8">
        <f>CHOOSE( CONTROL!$C$33, 35.8944, 35.8928) * CHOOSE(CONTROL!$C$16, $D$11, 100%, $F$11)</f>
        <v>35.894399999999997</v>
      </c>
      <c r="J994" s="4">
        <f>CHOOSE( CONTROL!$C$33, 35.7518, 35.7502) * CHOOSE(CONTROL!$C$16, $D$11, 100%, $F$11)</f>
        <v>35.751800000000003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1.2509999999999999</v>
      </c>
      <c r="Q994" s="9">
        <v>19.053000000000001</v>
      </c>
      <c r="R994" s="9"/>
      <c r="S994" s="11"/>
    </row>
    <row r="995" spans="1:19" ht="15.75">
      <c r="A995" s="13">
        <v>71436</v>
      </c>
      <c r="B995" s="8">
        <f>CHOOSE( CONTROL!$C$33, 38.4348, 38.4332) * CHOOSE(CONTROL!$C$16, $D$11, 100%, $F$11)</f>
        <v>38.434800000000003</v>
      </c>
      <c r="C995" s="8">
        <f>CHOOSE( CONTROL!$C$33, 38.4428, 38.4411) * CHOOSE(CONTROL!$C$16, $D$11, 100%, $F$11)</f>
        <v>38.442799999999998</v>
      </c>
      <c r="D995" s="8">
        <f>CHOOSE( CONTROL!$C$33, 38.4616, 38.4599) * CHOOSE( CONTROL!$C$16, $D$11, 100%, $F$11)</f>
        <v>38.461599999999997</v>
      </c>
      <c r="E995" s="12">
        <f>CHOOSE( CONTROL!$C$33, 38.4536, 38.4519) * CHOOSE( CONTROL!$C$16, $D$11, 100%, $F$11)</f>
        <v>38.453600000000002</v>
      </c>
      <c r="F995" s="4">
        <f>CHOOSE( CONTROL!$C$33, 39.1624, 39.1607) * CHOOSE(CONTROL!$C$16, $D$11, 100%, $F$11)</f>
        <v>39.162399999999998</v>
      </c>
      <c r="G995" s="8">
        <f>CHOOSE( CONTROL!$C$33, 38.0138, 38.0122) * CHOOSE( CONTROL!$C$16, $D$11, 100%, $F$11)</f>
        <v>38.013800000000003</v>
      </c>
      <c r="H995" s="4">
        <f>CHOOSE( CONTROL!$C$33, 38.9504, 38.9488) * CHOOSE(CONTROL!$C$16, $D$11, 100%, $F$11)</f>
        <v>38.950400000000002</v>
      </c>
      <c r="I995" s="8">
        <f>CHOOSE( CONTROL!$C$33, 37.4344, 37.4328) * CHOOSE(CONTROL!$C$16, $D$11, 100%, $F$11)</f>
        <v>37.434399999999997</v>
      </c>
      <c r="J995" s="4">
        <f>CHOOSE( CONTROL!$C$33, 37.2902, 37.2886) * CHOOSE(CONTROL!$C$16, $D$11, 100%, $F$11)</f>
        <v>37.290199999999999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1.2927</v>
      </c>
      <c r="Q995" s="9">
        <v>19.688099999999999</v>
      </c>
      <c r="R995" s="9"/>
      <c r="S995" s="11"/>
    </row>
    <row r="996" spans="1:19" ht="15.75">
      <c r="A996" s="13">
        <v>71467</v>
      </c>
      <c r="B996" s="8">
        <f>CHOOSE( CONTROL!$C$33, 35.4689, 35.4673) * CHOOSE(CONTROL!$C$16, $D$11, 100%, $F$11)</f>
        <v>35.468899999999998</v>
      </c>
      <c r="C996" s="8">
        <f>CHOOSE( CONTROL!$C$33, 35.4769, 35.4752) * CHOOSE(CONTROL!$C$16, $D$11, 100%, $F$11)</f>
        <v>35.476900000000001</v>
      </c>
      <c r="D996" s="8">
        <f>CHOOSE( CONTROL!$C$33, 35.4958, 35.4941) * CHOOSE( CONTROL!$C$16, $D$11, 100%, $F$11)</f>
        <v>35.495800000000003</v>
      </c>
      <c r="E996" s="12">
        <f>CHOOSE( CONTROL!$C$33, 35.4877, 35.486) * CHOOSE( CONTROL!$C$16, $D$11, 100%, $F$11)</f>
        <v>35.487699999999997</v>
      </c>
      <c r="F996" s="4">
        <f>CHOOSE( CONTROL!$C$33, 36.1965, 36.1948) * CHOOSE(CONTROL!$C$16, $D$11, 100%, $F$11)</f>
        <v>36.1965</v>
      </c>
      <c r="G996" s="8">
        <f>CHOOSE( CONTROL!$C$33, 35.0827, 35.0811) * CHOOSE( CONTROL!$C$16, $D$11, 100%, $F$11)</f>
        <v>35.082700000000003</v>
      </c>
      <c r="H996" s="4">
        <f>CHOOSE( CONTROL!$C$33, 36.0192, 36.0176) * CHOOSE(CONTROL!$C$16, $D$11, 100%, $F$11)</f>
        <v>36.019199999999998</v>
      </c>
      <c r="I996" s="8">
        <f>CHOOSE( CONTROL!$C$33, 34.5548, 34.5532) * CHOOSE(CONTROL!$C$16, $D$11, 100%, $F$11)</f>
        <v>34.5548</v>
      </c>
      <c r="J996" s="4">
        <f>CHOOSE( CONTROL!$C$33, 34.4118, 34.4102) * CHOOSE(CONTROL!$C$16, $D$11, 100%, $F$11)</f>
        <v>34.411799999999999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1.2927</v>
      </c>
      <c r="Q996" s="9">
        <v>19.688099999999999</v>
      </c>
      <c r="R996" s="9"/>
      <c r="S996" s="11"/>
    </row>
    <row r="997" spans="1:19" ht="15.75">
      <c r="A997" s="13">
        <v>71497</v>
      </c>
      <c r="B997" s="8">
        <f>CHOOSE( CONTROL!$C$33, 34.7262, 34.7246) * CHOOSE(CONTROL!$C$16, $D$11, 100%, $F$11)</f>
        <v>34.726199999999999</v>
      </c>
      <c r="C997" s="8">
        <f>CHOOSE( CONTROL!$C$33, 34.7342, 34.7325) * CHOOSE(CONTROL!$C$16, $D$11, 100%, $F$11)</f>
        <v>34.734200000000001</v>
      </c>
      <c r="D997" s="8">
        <f>CHOOSE( CONTROL!$C$33, 34.753, 34.7513) * CHOOSE( CONTROL!$C$16, $D$11, 100%, $F$11)</f>
        <v>34.753</v>
      </c>
      <c r="E997" s="12">
        <f>CHOOSE( CONTROL!$C$33, 34.745, 34.7433) * CHOOSE( CONTROL!$C$16, $D$11, 100%, $F$11)</f>
        <v>34.744999999999997</v>
      </c>
      <c r="F997" s="4">
        <f>CHOOSE( CONTROL!$C$33, 35.4538, 35.4521) * CHOOSE(CONTROL!$C$16, $D$11, 100%, $F$11)</f>
        <v>35.453800000000001</v>
      </c>
      <c r="G997" s="8">
        <f>CHOOSE( CONTROL!$C$33, 34.3486, 34.347) * CHOOSE( CONTROL!$C$16, $D$11, 100%, $F$11)</f>
        <v>34.348599999999998</v>
      </c>
      <c r="H997" s="4">
        <f>CHOOSE( CONTROL!$C$33, 35.2852, 35.2836) * CHOOSE(CONTROL!$C$16, $D$11, 100%, $F$11)</f>
        <v>35.285200000000003</v>
      </c>
      <c r="I997" s="8">
        <f>CHOOSE( CONTROL!$C$33, 33.8333, 33.8317) * CHOOSE(CONTROL!$C$16, $D$11, 100%, $F$11)</f>
        <v>33.833300000000001</v>
      </c>
      <c r="J997" s="4">
        <f>CHOOSE( CONTROL!$C$33, 33.691, 33.6894) * CHOOSE(CONTROL!$C$16, $D$11, 100%, $F$11)</f>
        <v>33.691000000000003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1.2509999999999999</v>
      </c>
      <c r="Q997" s="9">
        <v>19.053000000000001</v>
      </c>
      <c r="R997" s="9"/>
      <c r="S997" s="11"/>
    </row>
    <row r="998" spans="1:19" ht="15.75">
      <c r="A998" s="13">
        <v>71528</v>
      </c>
      <c r="B998" s="8">
        <f>CHOOSE( CONTROL!$C$33, 36.266, 36.2649) * CHOOSE(CONTROL!$C$16, $D$11, 100%, $F$11)</f>
        <v>36.265999999999998</v>
      </c>
      <c r="C998" s="8">
        <f>CHOOSE( CONTROL!$C$33, 36.2714, 36.2703) * CHOOSE(CONTROL!$C$16, $D$11, 100%, $F$11)</f>
        <v>36.2714</v>
      </c>
      <c r="D998" s="8">
        <f>CHOOSE( CONTROL!$C$33, 36.2958, 36.2947) * CHOOSE( CONTROL!$C$16, $D$11, 100%, $F$11)</f>
        <v>36.2958</v>
      </c>
      <c r="E998" s="12">
        <f>CHOOSE( CONTROL!$C$33, 36.2872, 36.2861) * CHOOSE( CONTROL!$C$16, $D$11, 100%, $F$11)</f>
        <v>36.287199999999999</v>
      </c>
      <c r="F998" s="4">
        <f>CHOOSE( CONTROL!$C$33, 36.9953, 36.9942) * CHOOSE(CONTROL!$C$16, $D$11, 100%, $F$11)</f>
        <v>36.9953</v>
      </c>
      <c r="G998" s="8">
        <f>CHOOSE( CONTROL!$C$33, 35.8723, 35.8712) * CHOOSE( CONTROL!$C$16, $D$11, 100%, $F$11)</f>
        <v>35.872300000000003</v>
      </c>
      <c r="H998" s="4">
        <f>CHOOSE( CONTROL!$C$33, 36.8087, 36.8076) * CHOOSE(CONTROL!$C$16, $D$11, 100%, $F$11)</f>
        <v>36.808700000000002</v>
      </c>
      <c r="I998" s="8">
        <f>CHOOSE( CONTROL!$C$33, 35.331, 35.3299) * CHOOSE(CONTROL!$C$16, $D$11, 100%, $F$11)</f>
        <v>35.331000000000003</v>
      </c>
      <c r="J998" s="4">
        <f>CHOOSE( CONTROL!$C$33, 35.187, 35.186) * CHOOSE(CONTROL!$C$16, $D$11, 100%, $F$11)</f>
        <v>35.186999999999998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1.2927</v>
      </c>
      <c r="Q998" s="9">
        <v>19.688099999999999</v>
      </c>
      <c r="R998" s="9"/>
      <c r="S998" s="11"/>
    </row>
    <row r="999" spans="1:19" ht="15.75">
      <c r="A999" s="13">
        <v>71558</v>
      </c>
      <c r="B999" s="8">
        <f>CHOOSE( CONTROL!$C$33, 39.112, 39.1109) * CHOOSE(CONTROL!$C$16, $D$11, 100%, $F$11)</f>
        <v>39.112000000000002</v>
      </c>
      <c r="C999" s="8">
        <f>CHOOSE( CONTROL!$C$33, 39.1171, 39.116) * CHOOSE(CONTROL!$C$16, $D$11, 100%, $F$11)</f>
        <v>39.117100000000001</v>
      </c>
      <c r="D999" s="8">
        <f>CHOOSE( CONTROL!$C$33, 39.1075, 39.1064) * CHOOSE( CONTROL!$C$16, $D$11, 100%, $F$11)</f>
        <v>39.107500000000002</v>
      </c>
      <c r="E999" s="12">
        <f>CHOOSE( CONTROL!$C$33, 39.1105, 39.1094) * CHOOSE( CONTROL!$C$16, $D$11, 100%, $F$11)</f>
        <v>39.110500000000002</v>
      </c>
      <c r="F999" s="4">
        <f>CHOOSE( CONTROL!$C$33, 39.7721, 39.7711) * CHOOSE(CONTROL!$C$16, $D$11, 100%, $F$11)</f>
        <v>39.772100000000002</v>
      </c>
      <c r="G999" s="8">
        <f>CHOOSE( CONTROL!$C$33, 38.6719, 38.6708) * CHOOSE( CONTROL!$C$16, $D$11, 100%, $F$11)</f>
        <v>38.671900000000001</v>
      </c>
      <c r="H999" s="4">
        <f>CHOOSE( CONTROL!$C$33, 39.553, 39.5519) * CHOOSE(CONTROL!$C$16, $D$11, 100%, $F$11)</f>
        <v>39.552999999999997</v>
      </c>
      <c r="I999" s="8">
        <f>CHOOSE( CONTROL!$C$33, 38.1541, 38.1531) * CHOOSE(CONTROL!$C$16, $D$11, 100%, $F$11)</f>
        <v>38.1541</v>
      </c>
      <c r="J999" s="4">
        <f>CHOOSE( CONTROL!$C$33, 37.9495, 37.9484) * CHOOSE(CONTROL!$C$16, $D$11, 100%, $F$11)</f>
        <v>37.9495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71589</v>
      </c>
      <c r="B1000" s="8">
        <f>CHOOSE( CONTROL!$C$33, 39.0409, 39.0398) * CHOOSE(CONTROL!$C$16, $D$11, 100%, $F$11)</f>
        <v>39.040900000000001</v>
      </c>
      <c r="C1000" s="8">
        <f>CHOOSE( CONTROL!$C$33, 39.046, 39.0449) * CHOOSE(CONTROL!$C$16, $D$11, 100%, $F$11)</f>
        <v>39.045999999999999</v>
      </c>
      <c r="D1000" s="8">
        <f>CHOOSE( CONTROL!$C$33, 39.0378, 39.0367) * CHOOSE( CONTROL!$C$16, $D$11, 100%, $F$11)</f>
        <v>39.037799999999997</v>
      </c>
      <c r="E1000" s="12">
        <f>CHOOSE( CONTROL!$C$33, 39.0403, 39.0392) * CHOOSE( CONTROL!$C$16, $D$11, 100%, $F$11)</f>
        <v>39.040300000000002</v>
      </c>
      <c r="F1000" s="4">
        <f>CHOOSE( CONTROL!$C$33, 39.701, 39.6999) * CHOOSE(CONTROL!$C$16, $D$11, 100%, $F$11)</f>
        <v>39.701000000000001</v>
      </c>
      <c r="G1000" s="8">
        <f>CHOOSE( CONTROL!$C$33, 38.6026, 38.6016) * CHOOSE( CONTROL!$C$16, $D$11, 100%, $F$11)</f>
        <v>38.602600000000002</v>
      </c>
      <c r="H1000" s="4">
        <f>CHOOSE( CONTROL!$C$33, 39.4827, 39.4817) * CHOOSE(CONTROL!$C$16, $D$11, 100%, $F$11)</f>
        <v>39.482700000000001</v>
      </c>
      <c r="I1000" s="8">
        <f>CHOOSE( CONTROL!$C$33, 38.0895, 38.0884) * CHOOSE(CONTROL!$C$16, $D$11, 100%, $F$11)</f>
        <v>38.089500000000001</v>
      </c>
      <c r="J1000" s="4">
        <f>CHOOSE( CONTROL!$C$33, 37.8804, 37.8794) * CHOOSE(CONTROL!$C$16, $D$11, 100%, $F$11)</f>
        <v>37.880400000000002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71620</v>
      </c>
      <c r="B1001" s="8">
        <f>CHOOSE( CONTROL!$C$33, 40.1922, 40.1911) * CHOOSE(CONTROL!$C$16, $D$11, 100%, $F$11)</f>
        <v>40.1922</v>
      </c>
      <c r="C1001" s="8">
        <f>CHOOSE( CONTROL!$C$33, 40.1973, 40.1962) * CHOOSE(CONTROL!$C$16, $D$11, 100%, $F$11)</f>
        <v>40.197299999999998</v>
      </c>
      <c r="D1001" s="8">
        <f>CHOOSE( CONTROL!$C$33, 40.1999, 40.1988) * CHOOSE( CONTROL!$C$16, $D$11, 100%, $F$11)</f>
        <v>40.1999</v>
      </c>
      <c r="E1001" s="12">
        <f>CHOOSE( CONTROL!$C$33, 40.1984, 40.1973) * CHOOSE( CONTROL!$C$16, $D$11, 100%, $F$11)</f>
        <v>40.198399999999999</v>
      </c>
      <c r="F1001" s="4">
        <f>CHOOSE( CONTROL!$C$33, 40.8523, 40.8512) * CHOOSE(CONTROL!$C$16, $D$11, 100%, $F$11)</f>
        <v>40.8523</v>
      </c>
      <c r="G1001" s="8">
        <f>CHOOSE( CONTROL!$C$33, 39.7433, 39.7422) * CHOOSE( CONTROL!$C$16, $D$11, 100%, $F$11)</f>
        <v>39.743299999999998</v>
      </c>
      <c r="H1001" s="4">
        <f>CHOOSE( CONTROL!$C$33, 40.6205, 40.6195) * CHOOSE(CONTROL!$C$16, $D$11, 100%, $F$11)</f>
        <v>40.6205</v>
      </c>
      <c r="I1001" s="8">
        <f>CHOOSE( CONTROL!$C$33, 39.1789, 39.1778) * CHOOSE(CONTROL!$C$16, $D$11, 100%, $F$11)</f>
        <v>39.178899999999999</v>
      </c>
      <c r="J1001" s="4">
        <f>CHOOSE( CONTROL!$C$33, 38.9978, 38.9967) * CHOOSE(CONTROL!$C$16, $D$11, 100%, $F$11)</f>
        <v>38.997799999999998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71649</v>
      </c>
      <c r="B1002" s="8">
        <f>CHOOSE( CONTROL!$C$33, 37.5945, 37.5934) * CHOOSE(CONTROL!$C$16, $D$11, 100%, $F$11)</f>
        <v>37.594499999999996</v>
      </c>
      <c r="C1002" s="8">
        <f>CHOOSE( CONTROL!$C$33, 37.5995, 37.5985) * CHOOSE(CONTROL!$C$16, $D$11, 100%, $F$11)</f>
        <v>37.599499999999999</v>
      </c>
      <c r="D1002" s="8">
        <f>CHOOSE( CONTROL!$C$33, 37.6021, 37.601) * CHOOSE( CONTROL!$C$16, $D$11, 100%, $F$11)</f>
        <v>37.6021</v>
      </c>
      <c r="E1002" s="12">
        <f>CHOOSE( CONTROL!$C$33, 37.6006, 37.5995) * CHOOSE( CONTROL!$C$16, $D$11, 100%, $F$11)</f>
        <v>37.6006</v>
      </c>
      <c r="F1002" s="4">
        <f>CHOOSE( CONTROL!$C$33, 38.2546, 38.2535) * CHOOSE(CONTROL!$C$16, $D$11, 100%, $F$11)</f>
        <v>38.254600000000003</v>
      </c>
      <c r="G1002" s="8">
        <f>CHOOSE( CONTROL!$C$33, 37.1759, 37.1748) * CHOOSE( CONTROL!$C$16, $D$11, 100%, $F$11)</f>
        <v>37.175899999999999</v>
      </c>
      <c r="H1002" s="4">
        <f>CHOOSE( CONTROL!$C$33, 38.0533, 38.0522) * CHOOSE(CONTROL!$C$16, $D$11, 100%, $F$11)</f>
        <v>38.0533</v>
      </c>
      <c r="I1002" s="8">
        <f>CHOOSE( CONTROL!$C$33, 36.6563, 36.6552) * CHOOSE(CONTROL!$C$16, $D$11, 100%, $F$11)</f>
        <v>36.656300000000002</v>
      </c>
      <c r="J1002" s="4">
        <f>CHOOSE( CONTROL!$C$33, 36.4767, 36.4756) * CHOOSE(CONTROL!$C$16, $D$11, 100%, $F$11)</f>
        <v>36.476700000000001</v>
      </c>
      <c r="K1002" s="4"/>
      <c r="L1002" s="9">
        <v>27.415299999999998</v>
      </c>
      <c r="M1002" s="9">
        <v>11.285299999999999</v>
      </c>
      <c r="N1002" s="9">
        <v>4.6254999999999997</v>
      </c>
      <c r="O1002" s="9">
        <v>0.34989999999999999</v>
      </c>
      <c r="P1002" s="9">
        <v>1.2093</v>
      </c>
      <c r="Q1002" s="9">
        <v>18.417899999999999</v>
      </c>
      <c r="R1002" s="9"/>
      <c r="S1002" s="11"/>
    </row>
    <row r="1003" spans="1:19" ht="15.75">
      <c r="A1003" s="13">
        <v>71680</v>
      </c>
      <c r="B1003" s="8">
        <f>CHOOSE( CONTROL!$C$33, 36.7944, 36.7933) * CHOOSE(CONTROL!$C$16, $D$11, 100%, $F$11)</f>
        <v>36.794400000000003</v>
      </c>
      <c r="C1003" s="8">
        <f>CHOOSE( CONTROL!$C$33, 36.7995, 36.7984) * CHOOSE(CONTROL!$C$16, $D$11, 100%, $F$11)</f>
        <v>36.799500000000002</v>
      </c>
      <c r="D1003" s="8">
        <f>CHOOSE( CONTROL!$C$33, 36.8013, 36.8003) * CHOOSE( CONTROL!$C$16, $D$11, 100%, $F$11)</f>
        <v>36.801299999999998</v>
      </c>
      <c r="E1003" s="12">
        <f>CHOOSE( CONTROL!$C$33, 36.8001, 36.7991) * CHOOSE( CONTROL!$C$16, $D$11, 100%, $F$11)</f>
        <v>36.8001</v>
      </c>
      <c r="F1003" s="4">
        <f>CHOOSE( CONTROL!$C$33, 37.4545, 37.4534) * CHOOSE(CONTROL!$C$16, $D$11, 100%, $F$11)</f>
        <v>37.454500000000003</v>
      </c>
      <c r="G1003" s="8">
        <f>CHOOSE( CONTROL!$C$33, 36.3847, 36.3836) * CHOOSE( CONTROL!$C$16, $D$11, 100%, $F$11)</f>
        <v>36.384700000000002</v>
      </c>
      <c r="H1003" s="4">
        <f>CHOOSE( CONTROL!$C$33, 37.2625, 37.2615) * CHOOSE(CONTROL!$C$16, $D$11, 100%, $F$11)</f>
        <v>37.262500000000003</v>
      </c>
      <c r="I1003" s="8">
        <f>CHOOSE( CONTROL!$C$33, 35.8773, 35.8762) * CHOOSE(CONTROL!$C$16, $D$11, 100%, $F$11)</f>
        <v>35.877299999999998</v>
      </c>
      <c r="J1003" s="4">
        <f>CHOOSE( CONTROL!$C$33, 35.7002, 35.6992) * CHOOSE(CONTROL!$C$16, $D$11, 100%, $F$11)</f>
        <v>35.700200000000002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71710</v>
      </c>
      <c r="B1004" s="8">
        <f>CHOOSE( CONTROL!$C$33, 37.3542, 37.3532) * CHOOSE(CONTROL!$C$16, $D$11, 100%, $F$11)</f>
        <v>37.354199999999999</v>
      </c>
      <c r="C1004" s="8">
        <f>CHOOSE( CONTROL!$C$33, 37.3587, 37.3577) * CHOOSE(CONTROL!$C$16, $D$11, 100%, $F$11)</f>
        <v>37.358699999999999</v>
      </c>
      <c r="D1004" s="8">
        <f>CHOOSE( CONTROL!$C$33, 37.3831, 37.382) * CHOOSE( CONTROL!$C$16, $D$11, 100%, $F$11)</f>
        <v>37.383099999999999</v>
      </c>
      <c r="E1004" s="12">
        <f>CHOOSE( CONTROL!$C$33, 37.3745, 37.3735) * CHOOSE( CONTROL!$C$16, $D$11, 100%, $F$11)</f>
        <v>37.374499999999998</v>
      </c>
      <c r="F1004" s="4">
        <f>CHOOSE( CONTROL!$C$33, 38.0832, 38.0821) * CHOOSE(CONTROL!$C$16, $D$11, 100%, $F$11)</f>
        <v>38.083199999999998</v>
      </c>
      <c r="G1004" s="8">
        <f>CHOOSE( CONTROL!$C$33, 36.947, 36.9459) * CHOOSE( CONTROL!$C$16, $D$11, 100%, $F$11)</f>
        <v>36.947000000000003</v>
      </c>
      <c r="H1004" s="4">
        <f>CHOOSE( CONTROL!$C$33, 37.8838, 37.8827) * CHOOSE(CONTROL!$C$16, $D$11, 100%, $F$11)</f>
        <v>37.883800000000001</v>
      </c>
      <c r="I1004" s="8">
        <f>CHOOSE( CONTROL!$C$33, 36.3854, 36.3843) * CHOOSE(CONTROL!$C$16, $D$11, 100%, $F$11)</f>
        <v>36.385399999999997</v>
      </c>
      <c r="J1004" s="4">
        <f>CHOOSE( CONTROL!$C$33, 36.2428, 36.2417) * CHOOSE(CONTROL!$C$16, $D$11, 100%, $F$11)</f>
        <v>36.242800000000003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1.2509999999999999</v>
      </c>
      <c r="Q1004" s="9">
        <v>19.053000000000001</v>
      </c>
      <c r="R1004" s="9"/>
      <c r="S1004" s="11"/>
    </row>
    <row r="1005" spans="1:19" ht="15.75">
      <c r="A1005" s="13">
        <v>71741</v>
      </c>
      <c r="B1005" s="8">
        <f>CHOOSE( CONTROL!$C$33, 38.3512, 38.3496) * CHOOSE(CONTROL!$C$16, $D$11, 100%, $F$11)</f>
        <v>38.351199999999999</v>
      </c>
      <c r="C1005" s="8">
        <f>CHOOSE( CONTROL!$C$33, 38.3592, 38.3575) * CHOOSE(CONTROL!$C$16, $D$11, 100%, $F$11)</f>
        <v>38.359200000000001</v>
      </c>
      <c r="D1005" s="8">
        <f>CHOOSE( CONTROL!$C$33, 38.3775, 38.3758) * CHOOSE( CONTROL!$C$16, $D$11, 100%, $F$11)</f>
        <v>38.377499999999998</v>
      </c>
      <c r="E1005" s="12">
        <f>CHOOSE( CONTROL!$C$33, 38.3696, 38.368) * CHOOSE( CONTROL!$C$16, $D$11, 100%, $F$11)</f>
        <v>38.369599999999998</v>
      </c>
      <c r="F1005" s="4">
        <f>CHOOSE( CONTROL!$C$33, 39.0788, 39.0771) * CHOOSE(CONTROL!$C$16, $D$11, 100%, $F$11)</f>
        <v>39.078800000000001</v>
      </c>
      <c r="G1005" s="8">
        <f>CHOOSE( CONTROL!$C$33, 37.9308, 37.9292) * CHOOSE( CONTROL!$C$16, $D$11, 100%, $F$11)</f>
        <v>37.930799999999998</v>
      </c>
      <c r="H1005" s="4">
        <f>CHOOSE( CONTROL!$C$33, 38.8678, 38.8661) * CHOOSE(CONTROL!$C$16, $D$11, 100%, $F$11)</f>
        <v>38.867800000000003</v>
      </c>
      <c r="I1005" s="8">
        <f>CHOOSE( CONTROL!$C$33, 37.3515, 37.3499) * CHOOSE(CONTROL!$C$16, $D$11, 100%, $F$11)</f>
        <v>37.351500000000001</v>
      </c>
      <c r="J1005" s="4">
        <f>CHOOSE( CONTROL!$C$33, 37.209, 37.2074) * CHOOSE(CONTROL!$C$16, $D$11, 100%, $F$11)</f>
        <v>37.209000000000003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1.2927</v>
      </c>
      <c r="Q1005" s="9">
        <v>19.688099999999999</v>
      </c>
      <c r="R1005" s="9"/>
      <c r="S1005" s="11"/>
    </row>
    <row r="1006" spans="1:19" ht="15.75">
      <c r="A1006" s="13">
        <v>71771</v>
      </c>
      <c r="B1006" s="8">
        <f>CHOOSE( CONTROL!$C$33, 37.7348, 37.7332) * CHOOSE(CONTROL!$C$16, $D$11, 100%, $F$11)</f>
        <v>37.7348</v>
      </c>
      <c r="C1006" s="8">
        <f>CHOOSE( CONTROL!$C$33, 37.7428, 37.7411) * CHOOSE(CONTROL!$C$16, $D$11, 100%, $F$11)</f>
        <v>37.742800000000003</v>
      </c>
      <c r="D1006" s="8">
        <f>CHOOSE( CONTROL!$C$33, 37.7613, 37.7597) * CHOOSE( CONTROL!$C$16, $D$11, 100%, $F$11)</f>
        <v>37.761299999999999</v>
      </c>
      <c r="E1006" s="12">
        <f>CHOOSE( CONTROL!$C$33, 37.7534, 37.7518) * CHOOSE( CONTROL!$C$16, $D$11, 100%, $F$11)</f>
        <v>37.753399999999999</v>
      </c>
      <c r="F1006" s="4">
        <f>CHOOSE( CONTROL!$C$33, 38.4624, 38.4607) * CHOOSE(CONTROL!$C$16, $D$11, 100%, $F$11)</f>
        <v>38.462400000000002</v>
      </c>
      <c r="G1006" s="8">
        <f>CHOOSE( CONTROL!$C$33, 37.3218, 37.3202) * CHOOSE( CONTROL!$C$16, $D$11, 100%, $F$11)</f>
        <v>37.321800000000003</v>
      </c>
      <c r="H1006" s="4">
        <f>CHOOSE( CONTROL!$C$33, 38.2586, 38.257) * CHOOSE(CONTROL!$C$16, $D$11, 100%, $F$11)</f>
        <v>38.258600000000001</v>
      </c>
      <c r="I1006" s="8">
        <f>CHOOSE( CONTROL!$C$33, 36.7538, 36.7522) * CHOOSE(CONTROL!$C$16, $D$11, 100%, $F$11)</f>
        <v>36.753799999999998</v>
      </c>
      <c r="J1006" s="4">
        <f>CHOOSE( CONTROL!$C$33, 36.6108, 36.6092) * CHOOSE(CONTROL!$C$16, $D$11, 100%, $F$11)</f>
        <v>36.610799999999998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1.2509999999999999</v>
      </c>
      <c r="Q1006" s="9">
        <v>19.053000000000001</v>
      </c>
      <c r="R1006" s="9"/>
      <c r="S1006" s="11"/>
    </row>
    <row r="1007" spans="1:19" ht="15.75">
      <c r="A1007" s="13">
        <v>71802</v>
      </c>
      <c r="B1007" s="8">
        <f>CHOOSE( CONTROL!$C$33, 39.358, 39.3564) * CHOOSE(CONTROL!$C$16, $D$11, 100%, $F$11)</f>
        <v>39.357999999999997</v>
      </c>
      <c r="C1007" s="8">
        <f>CHOOSE( CONTROL!$C$33, 39.366, 39.3643) * CHOOSE(CONTROL!$C$16, $D$11, 100%, $F$11)</f>
        <v>39.366</v>
      </c>
      <c r="D1007" s="8">
        <f>CHOOSE( CONTROL!$C$33, 39.3848, 39.3831) * CHOOSE( CONTROL!$C$16, $D$11, 100%, $F$11)</f>
        <v>39.384799999999998</v>
      </c>
      <c r="E1007" s="12">
        <f>CHOOSE( CONTROL!$C$33, 39.3768, 39.3751) * CHOOSE( CONTROL!$C$16, $D$11, 100%, $F$11)</f>
        <v>39.376800000000003</v>
      </c>
      <c r="F1007" s="4">
        <f>CHOOSE( CONTROL!$C$33, 40.0856, 40.0839) * CHOOSE(CONTROL!$C$16, $D$11, 100%, $F$11)</f>
        <v>40.085599999999999</v>
      </c>
      <c r="G1007" s="8">
        <f>CHOOSE( CONTROL!$C$33, 38.9262, 38.9246) * CHOOSE( CONTROL!$C$16, $D$11, 100%, $F$11)</f>
        <v>38.926200000000001</v>
      </c>
      <c r="H1007" s="4">
        <f>CHOOSE( CONTROL!$C$33, 39.8628, 39.8611) * CHOOSE(CONTROL!$C$16, $D$11, 100%, $F$11)</f>
        <v>39.8628</v>
      </c>
      <c r="I1007" s="8">
        <f>CHOOSE( CONTROL!$C$33, 38.3308, 38.3292) * CHOOSE(CONTROL!$C$16, $D$11, 100%, $F$11)</f>
        <v>38.330800000000004</v>
      </c>
      <c r="J1007" s="4">
        <f>CHOOSE( CONTROL!$C$33, 38.1861, 38.1845) * CHOOSE(CONTROL!$C$16, $D$11, 100%, $F$11)</f>
        <v>38.186100000000003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1.2927</v>
      </c>
      <c r="Q1007" s="9">
        <v>19.688099999999999</v>
      </c>
      <c r="R1007" s="9"/>
      <c r="S1007" s="11"/>
    </row>
    <row r="1008" spans="1:19" ht="15.75">
      <c r="A1008" s="13">
        <v>71833</v>
      </c>
      <c r="B1008" s="8">
        <f>CHOOSE( CONTROL!$C$33, 36.3208, 36.3192) * CHOOSE(CONTROL!$C$16, $D$11, 100%, $F$11)</f>
        <v>36.320799999999998</v>
      </c>
      <c r="C1008" s="8">
        <f>CHOOSE( CONTROL!$C$33, 36.3288, 36.3272) * CHOOSE(CONTROL!$C$16, $D$11, 100%, $F$11)</f>
        <v>36.328800000000001</v>
      </c>
      <c r="D1008" s="8">
        <f>CHOOSE( CONTROL!$C$33, 36.3477, 36.346) * CHOOSE( CONTROL!$C$16, $D$11, 100%, $F$11)</f>
        <v>36.347700000000003</v>
      </c>
      <c r="E1008" s="12">
        <f>CHOOSE( CONTROL!$C$33, 36.3396, 36.338) * CHOOSE( CONTROL!$C$16, $D$11, 100%, $F$11)</f>
        <v>36.339599999999997</v>
      </c>
      <c r="F1008" s="4">
        <f>CHOOSE( CONTROL!$C$33, 37.0484, 37.0467) * CHOOSE(CONTROL!$C$16, $D$11, 100%, $F$11)</f>
        <v>37.048400000000001</v>
      </c>
      <c r="G1008" s="8">
        <f>CHOOSE( CONTROL!$C$33, 35.9247, 35.923) * CHOOSE( CONTROL!$C$16, $D$11, 100%, $F$11)</f>
        <v>35.924700000000001</v>
      </c>
      <c r="H1008" s="4">
        <f>CHOOSE( CONTROL!$C$33, 36.8612, 36.8595) * CHOOSE(CONTROL!$C$16, $D$11, 100%, $F$11)</f>
        <v>36.861199999999997</v>
      </c>
      <c r="I1008" s="8">
        <f>CHOOSE( CONTROL!$C$33, 35.382, 35.3804) * CHOOSE(CONTROL!$C$16, $D$11, 100%, $F$11)</f>
        <v>35.381999999999998</v>
      </c>
      <c r="J1008" s="4">
        <f>CHOOSE( CONTROL!$C$33, 35.2386, 35.237) * CHOOSE(CONTROL!$C$16, $D$11, 100%, $F$11)</f>
        <v>35.238599999999998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1.2927</v>
      </c>
      <c r="Q1008" s="9">
        <v>19.688099999999999</v>
      </c>
      <c r="R1008" s="9"/>
      <c r="S1008" s="11"/>
    </row>
    <row r="1009" spans="1:19" ht="15.75">
      <c r="A1009" s="13">
        <v>71863</v>
      </c>
      <c r="B1009" s="8">
        <f>CHOOSE( CONTROL!$C$33, 35.5603, 35.5587) * CHOOSE(CONTROL!$C$16, $D$11, 100%, $F$11)</f>
        <v>35.560299999999998</v>
      </c>
      <c r="C1009" s="8">
        <f>CHOOSE( CONTROL!$C$33, 35.5683, 35.5666) * CHOOSE(CONTROL!$C$16, $D$11, 100%, $F$11)</f>
        <v>35.568300000000001</v>
      </c>
      <c r="D1009" s="8">
        <f>CHOOSE( CONTROL!$C$33, 35.587, 35.5854) * CHOOSE( CONTROL!$C$16, $D$11, 100%, $F$11)</f>
        <v>35.587000000000003</v>
      </c>
      <c r="E1009" s="12">
        <f>CHOOSE( CONTROL!$C$33, 35.579, 35.5774) * CHOOSE( CONTROL!$C$16, $D$11, 100%, $F$11)</f>
        <v>35.579000000000001</v>
      </c>
      <c r="F1009" s="4">
        <f>CHOOSE( CONTROL!$C$33, 36.2879, 36.2862) * CHOOSE(CONTROL!$C$16, $D$11, 100%, $F$11)</f>
        <v>36.2879</v>
      </c>
      <c r="G1009" s="8">
        <f>CHOOSE( CONTROL!$C$33, 35.1729, 35.1713) * CHOOSE( CONTROL!$C$16, $D$11, 100%, $F$11)</f>
        <v>35.172899999999998</v>
      </c>
      <c r="H1009" s="4">
        <f>CHOOSE( CONTROL!$C$33, 36.1095, 36.1079) * CHOOSE(CONTROL!$C$16, $D$11, 100%, $F$11)</f>
        <v>36.109499999999997</v>
      </c>
      <c r="I1009" s="8">
        <f>CHOOSE( CONTROL!$C$33, 34.6431, 34.6415) * CHOOSE(CONTROL!$C$16, $D$11, 100%, $F$11)</f>
        <v>34.643099999999997</v>
      </c>
      <c r="J1009" s="4">
        <f>CHOOSE( CONTROL!$C$33, 34.5005, 34.4988) * CHOOSE(CONTROL!$C$16, $D$11, 100%, $F$11)</f>
        <v>34.500500000000002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1.2509999999999999</v>
      </c>
      <c r="Q1009" s="9">
        <v>19.053000000000001</v>
      </c>
      <c r="R1009" s="9"/>
      <c r="S1009" s="11"/>
    </row>
    <row r="1010" spans="1:19" ht="15.75">
      <c r="A1010" s="13">
        <v>71894</v>
      </c>
      <c r="B1010" s="8">
        <f>CHOOSE( CONTROL!$C$33, 37.1372, 37.1361) * CHOOSE(CONTROL!$C$16, $D$11, 100%, $F$11)</f>
        <v>37.1372</v>
      </c>
      <c r="C1010" s="8">
        <f>CHOOSE( CONTROL!$C$33, 37.1425, 37.1414) * CHOOSE(CONTROL!$C$16, $D$11, 100%, $F$11)</f>
        <v>37.142499999999998</v>
      </c>
      <c r="D1010" s="8">
        <f>CHOOSE( CONTROL!$C$33, 37.1669, 37.1658) * CHOOSE( CONTROL!$C$16, $D$11, 100%, $F$11)</f>
        <v>37.166899999999998</v>
      </c>
      <c r="E1010" s="12">
        <f>CHOOSE( CONTROL!$C$33, 37.1583, 37.1572) * CHOOSE( CONTROL!$C$16, $D$11, 100%, $F$11)</f>
        <v>37.158299999999997</v>
      </c>
      <c r="F1010" s="4">
        <f>CHOOSE( CONTROL!$C$33, 37.8664, 37.8653) * CHOOSE(CONTROL!$C$16, $D$11, 100%, $F$11)</f>
        <v>37.866399999999999</v>
      </c>
      <c r="G1010" s="8">
        <f>CHOOSE( CONTROL!$C$33, 36.7332, 36.7321) * CHOOSE( CONTROL!$C$16, $D$11, 100%, $F$11)</f>
        <v>36.733199999999997</v>
      </c>
      <c r="H1010" s="4">
        <f>CHOOSE( CONTROL!$C$33, 37.6696, 37.6686) * CHOOSE(CONTROL!$C$16, $D$11, 100%, $F$11)</f>
        <v>37.669600000000003</v>
      </c>
      <c r="I1010" s="8">
        <f>CHOOSE( CONTROL!$C$33, 36.1768, 36.1758) * CHOOSE(CONTROL!$C$16, $D$11, 100%, $F$11)</f>
        <v>36.1768</v>
      </c>
      <c r="J1010" s="4">
        <f>CHOOSE( CONTROL!$C$33, 36.0325, 36.0314) * CHOOSE(CONTROL!$C$16, $D$11, 100%, $F$11)</f>
        <v>36.032499999999999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1.2927</v>
      </c>
      <c r="Q1010" s="9">
        <v>19.688099999999999</v>
      </c>
      <c r="R1010" s="9"/>
      <c r="S1010" s="11"/>
    </row>
    <row r="1011" spans="1:19" ht="15.75">
      <c r="A1011" s="13">
        <v>71924</v>
      </c>
      <c r="B1011" s="8">
        <f>CHOOSE( CONTROL!$C$33, 40.0515, 40.0504) * CHOOSE(CONTROL!$C$16, $D$11, 100%, $F$11)</f>
        <v>40.051499999999997</v>
      </c>
      <c r="C1011" s="8">
        <f>CHOOSE( CONTROL!$C$33, 40.0566, 40.0555) * CHOOSE(CONTROL!$C$16, $D$11, 100%, $F$11)</f>
        <v>40.056600000000003</v>
      </c>
      <c r="D1011" s="8">
        <f>CHOOSE( CONTROL!$C$33, 40.047, 40.0459) * CHOOSE( CONTROL!$C$16, $D$11, 100%, $F$11)</f>
        <v>40.046999999999997</v>
      </c>
      <c r="E1011" s="12">
        <f>CHOOSE( CONTROL!$C$33, 40.05, 40.0489) * CHOOSE( CONTROL!$C$16, $D$11, 100%, $F$11)</f>
        <v>40.049999999999997</v>
      </c>
      <c r="F1011" s="4">
        <f>CHOOSE( CONTROL!$C$33, 40.7117, 40.7106) * CHOOSE(CONTROL!$C$16, $D$11, 100%, $F$11)</f>
        <v>40.7117</v>
      </c>
      <c r="G1011" s="8">
        <f>CHOOSE( CONTROL!$C$33, 39.6004, 39.5993) * CHOOSE( CONTROL!$C$16, $D$11, 100%, $F$11)</f>
        <v>39.6004</v>
      </c>
      <c r="H1011" s="4">
        <f>CHOOSE( CONTROL!$C$33, 40.4815, 40.4805) * CHOOSE(CONTROL!$C$16, $D$11, 100%, $F$11)</f>
        <v>40.481499999999997</v>
      </c>
      <c r="I1011" s="8">
        <f>CHOOSE( CONTROL!$C$33, 39.0664, 39.0653) * CHOOSE(CONTROL!$C$16, $D$11, 100%, $F$11)</f>
        <v>39.066400000000002</v>
      </c>
      <c r="J1011" s="4">
        <f>CHOOSE( CONTROL!$C$33, 38.8613, 38.8602) * CHOOSE(CONTROL!$C$16, $D$11, 100%, $F$11)</f>
        <v>38.8613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71955</v>
      </c>
      <c r="B1012" s="8">
        <f>CHOOSE( CONTROL!$C$33, 39.9787, 39.9776) * CHOOSE(CONTROL!$C$16, $D$11, 100%, $F$11)</f>
        <v>39.978700000000003</v>
      </c>
      <c r="C1012" s="8">
        <f>CHOOSE( CONTROL!$C$33, 39.9838, 39.9827) * CHOOSE(CONTROL!$C$16, $D$11, 100%, $F$11)</f>
        <v>39.983800000000002</v>
      </c>
      <c r="D1012" s="8">
        <f>CHOOSE( CONTROL!$C$33, 39.9756, 39.9745) * CHOOSE( CONTROL!$C$16, $D$11, 100%, $F$11)</f>
        <v>39.9756</v>
      </c>
      <c r="E1012" s="12">
        <f>CHOOSE( CONTROL!$C$33, 39.9781, 39.977) * CHOOSE( CONTROL!$C$16, $D$11, 100%, $F$11)</f>
        <v>39.978099999999998</v>
      </c>
      <c r="F1012" s="4">
        <f>CHOOSE( CONTROL!$C$33, 40.6388, 40.6378) * CHOOSE(CONTROL!$C$16, $D$11, 100%, $F$11)</f>
        <v>40.638800000000003</v>
      </c>
      <c r="G1012" s="8">
        <f>CHOOSE( CONTROL!$C$33, 39.5295, 39.5284) * CHOOSE( CONTROL!$C$16, $D$11, 100%, $F$11)</f>
        <v>39.529499999999999</v>
      </c>
      <c r="H1012" s="4">
        <f>CHOOSE( CONTROL!$C$33, 40.4096, 40.4085) * CHOOSE(CONTROL!$C$16, $D$11, 100%, $F$11)</f>
        <v>40.409599999999998</v>
      </c>
      <c r="I1012" s="8">
        <f>CHOOSE( CONTROL!$C$33, 39.0001, 38.999) * CHOOSE(CONTROL!$C$16, $D$11, 100%, $F$11)</f>
        <v>39.000100000000003</v>
      </c>
      <c r="J1012" s="4">
        <f>CHOOSE( CONTROL!$C$33, 38.7906, 38.7895) * CHOOSE(CONTROL!$C$16, $D$11, 100%, $F$11)</f>
        <v>38.790599999999998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71986</v>
      </c>
      <c r="B1013" s="8">
        <f>CHOOSE( CONTROL!$C$33, 41.1577, 41.1566) * CHOOSE(CONTROL!$C$16, $D$11, 100%, $F$11)</f>
        <v>41.157699999999998</v>
      </c>
      <c r="C1013" s="8">
        <f>CHOOSE( CONTROL!$C$33, 41.1627, 41.1616) * CHOOSE(CONTROL!$C$16, $D$11, 100%, $F$11)</f>
        <v>41.162700000000001</v>
      </c>
      <c r="D1013" s="8">
        <f>CHOOSE( CONTROL!$C$33, 41.1654, 41.1643) * CHOOSE( CONTROL!$C$16, $D$11, 100%, $F$11)</f>
        <v>41.165399999999998</v>
      </c>
      <c r="E1013" s="12">
        <f>CHOOSE( CONTROL!$C$33, 41.1639, 41.1628) * CHOOSE( CONTROL!$C$16, $D$11, 100%, $F$11)</f>
        <v>41.163899999999998</v>
      </c>
      <c r="F1013" s="4">
        <f>CHOOSE( CONTROL!$C$33, 41.8178, 41.8167) * CHOOSE(CONTROL!$C$16, $D$11, 100%, $F$11)</f>
        <v>41.817799999999998</v>
      </c>
      <c r="G1013" s="8">
        <f>CHOOSE( CONTROL!$C$33, 40.6974, 40.6964) * CHOOSE( CONTROL!$C$16, $D$11, 100%, $F$11)</f>
        <v>40.697400000000002</v>
      </c>
      <c r="H1013" s="4">
        <f>CHOOSE( CONTROL!$C$33, 41.5747, 41.5736) * CHOOSE(CONTROL!$C$16, $D$11, 100%, $F$11)</f>
        <v>41.5747</v>
      </c>
      <c r="I1013" s="8">
        <f>CHOOSE( CONTROL!$C$33, 40.1163, 40.1153) * CHOOSE(CONTROL!$C$16, $D$11, 100%, $F$11)</f>
        <v>40.116300000000003</v>
      </c>
      <c r="J1013" s="4">
        <f>CHOOSE( CONTROL!$C$33, 39.9347, 39.9337) * CHOOSE(CONTROL!$C$16, $D$11, 100%, $F$11)</f>
        <v>39.934699999999999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72014</v>
      </c>
      <c r="B1014" s="8">
        <f>CHOOSE( CONTROL!$C$33, 38.4975, 38.4964) * CHOOSE(CONTROL!$C$16, $D$11, 100%, $F$11)</f>
        <v>38.497500000000002</v>
      </c>
      <c r="C1014" s="8">
        <f>CHOOSE( CONTROL!$C$33, 38.5026, 38.5015) * CHOOSE(CONTROL!$C$16, $D$11, 100%, $F$11)</f>
        <v>38.502600000000001</v>
      </c>
      <c r="D1014" s="8">
        <f>CHOOSE( CONTROL!$C$33, 38.5052, 38.5041) * CHOOSE( CONTROL!$C$16, $D$11, 100%, $F$11)</f>
        <v>38.505200000000002</v>
      </c>
      <c r="E1014" s="12">
        <f>CHOOSE( CONTROL!$C$33, 38.5037, 38.5026) * CHOOSE( CONTROL!$C$16, $D$11, 100%, $F$11)</f>
        <v>38.503700000000002</v>
      </c>
      <c r="F1014" s="4">
        <f>CHOOSE( CONTROL!$C$33, 39.1577, 39.1566) * CHOOSE(CONTROL!$C$16, $D$11, 100%, $F$11)</f>
        <v>39.157699999999998</v>
      </c>
      <c r="G1014" s="8">
        <f>CHOOSE( CONTROL!$C$33, 38.0684, 38.0673) * CHOOSE( CONTROL!$C$16, $D$11, 100%, $F$11)</f>
        <v>38.068399999999997</v>
      </c>
      <c r="H1014" s="4">
        <f>CHOOSE( CONTROL!$C$33, 38.9457, 38.9447) * CHOOSE(CONTROL!$C$16, $D$11, 100%, $F$11)</f>
        <v>38.945700000000002</v>
      </c>
      <c r="I1014" s="8">
        <f>CHOOSE( CONTROL!$C$33, 37.5331, 37.5321) * CHOOSE(CONTROL!$C$16, $D$11, 100%, $F$11)</f>
        <v>37.533099999999997</v>
      </c>
      <c r="J1014" s="4">
        <f>CHOOSE( CONTROL!$C$33, 37.3531, 37.352) * CHOOSE(CONTROL!$C$16, $D$11, 100%, $F$11)</f>
        <v>37.353099999999998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72045</v>
      </c>
      <c r="B1015" s="8">
        <f>CHOOSE( CONTROL!$C$33, 37.6782, 37.6771) * CHOOSE(CONTROL!$C$16, $D$11, 100%, $F$11)</f>
        <v>37.678199999999997</v>
      </c>
      <c r="C1015" s="8">
        <f>CHOOSE( CONTROL!$C$33, 37.6833, 37.6822) * CHOOSE(CONTROL!$C$16, $D$11, 100%, $F$11)</f>
        <v>37.683300000000003</v>
      </c>
      <c r="D1015" s="8">
        <f>CHOOSE( CONTROL!$C$33, 37.6852, 37.6841) * CHOOSE( CONTROL!$C$16, $D$11, 100%, $F$11)</f>
        <v>37.685200000000002</v>
      </c>
      <c r="E1015" s="12">
        <f>CHOOSE( CONTROL!$C$33, 37.684, 37.6829) * CHOOSE( CONTROL!$C$16, $D$11, 100%, $F$11)</f>
        <v>37.683999999999997</v>
      </c>
      <c r="F1015" s="4">
        <f>CHOOSE( CONTROL!$C$33, 38.3384, 38.3373) * CHOOSE(CONTROL!$C$16, $D$11, 100%, $F$11)</f>
        <v>38.3384</v>
      </c>
      <c r="G1015" s="8">
        <f>CHOOSE( CONTROL!$C$33, 37.2582, 37.2571) * CHOOSE( CONTROL!$C$16, $D$11, 100%, $F$11)</f>
        <v>37.258200000000002</v>
      </c>
      <c r="H1015" s="4">
        <f>CHOOSE( CONTROL!$C$33, 38.136, 38.135) * CHOOSE(CONTROL!$C$16, $D$11, 100%, $F$11)</f>
        <v>38.136000000000003</v>
      </c>
      <c r="I1015" s="8">
        <f>CHOOSE( CONTROL!$C$33, 36.7355, 36.7344) * CHOOSE(CONTROL!$C$16, $D$11, 100%, $F$11)</f>
        <v>36.735500000000002</v>
      </c>
      <c r="J1015" s="4">
        <f>CHOOSE( CONTROL!$C$33, 36.558, 36.5569) * CHOOSE(CONTROL!$C$16, $D$11, 100%, $F$11)</f>
        <v>36.558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72075</v>
      </c>
      <c r="B1016" s="8">
        <f>CHOOSE( CONTROL!$C$33, 38.2515, 38.2504) * CHOOSE(CONTROL!$C$16, $D$11, 100%, $F$11)</f>
        <v>38.2515</v>
      </c>
      <c r="C1016" s="8">
        <f>CHOOSE( CONTROL!$C$33, 38.256, 38.2549) * CHOOSE(CONTROL!$C$16, $D$11, 100%, $F$11)</f>
        <v>38.256</v>
      </c>
      <c r="D1016" s="8">
        <f>CHOOSE( CONTROL!$C$33, 38.2804, 38.2793) * CHOOSE( CONTROL!$C$16, $D$11, 100%, $F$11)</f>
        <v>38.2804</v>
      </c>
      <c r="E1016" s="12">
        <f>CHOOSE( CONTROL!$C$33, 38.2718, 38.2707) * CHOOSE( CONTROL!$C$16, $D$11, 100%, $F$11)</f>
        <v>38.271799999999999</v>
      </c>
      <c r="F1016" s="4">
        <f>CHOOSE( CONTROL!$C$33, 38.9804, 38.9793) * CHOOSE(CONTROL!$C$16, $D$11, 100%, $F$11)</f>
        <v>38.980400000000003</v>
      </c>
      <c r="G1016" s="8">
        <f>CHOOSE( CONTROL!$C$33, 37.8337, 37.8326) * CHOOSE( CONTROL!$C$16, $D$11, 100%, $F$11)</f>
        <v>37.8337</v>
      </c>
      <c r="H1016" s="4">
        <f>CHOOSE( CONTROL!$C$33, 38.7706, 38.7695) * CHOOSE(CONTROL!$C$16, $D$11, 100%, $F$11)</f>
        <v>38.770600000000002</v>
      </c>
      <c r="I1016" s="8">
        <f>CHOOSE( CONTROL!$C$33, 37.2566, 37.2556) * CHOOSE(CONTROL!$C$16, $D$11, 100%, $F$11)</f>
        <v>37.256599999999999</v>
      </c>
      <c r="J1016" s="4">
        <f>CHOOSE( CONTROL!$C$33, 37.1136, 37.1125) * CHOOSE(CONTROL!$C$16, $D$11, 100%, $F$11)</f>
        <v>37.113599999999998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1.2509999999999999</v>
      </c>
      <c r="Q1016" s="9">
        <v>19.053000000000001</v>
      </c>
      <c r="R1016" s="9"/>
      <c r="S1016" s="11"/>
    </row>
    <row r="1017" spans="1:19" ht="15.75">
      <c r="A1017" s="13">
        <v>72106</v>
      </c>
      <c r="B1017" s="8">
        <f>CHOOSE( CONTROL!$C$33, 39.2724, 39.2707) * CHOOSE(CONTROL!$C$16, $D$11, 100%, $F$11)</f>
        <v>39.272399999999998</v>
      </c>
      <c r="C1017" s="8">
        <f>CHOOSE( CONTROL!$C$33, 39.2804, 39.2787) * CHOOSE(CONTROL!$C$16, $D$11, 100%, $F$11)</f>
        <v>39.2804</v>
      </c>
      <c r="D1017" s="8">
        <f>CHOOSE( CONTROL!$C$33, 39.2987, 39.297) * CHOOSE( CONTROL!$C$16, $D$11, 100%, $F$11)</f>
        <v>39.298699999999997</v>
      </c>
      <c r="E1017" s="12">
        <f>CHOOSE( CONTROL!$C$33, 39.2908, 39.2891) * CHOOSE( CONTROL!$C$16, $D$11, 100%, $F$11)</f>
        <v>39.290799999999997</v>
      </c>
      <c r="F1017" s="4">
        <f>CHOOSE( CONTROL!$C$33, 39.9999, 39.9983) * CHOOSE(CONTROL!$C$16, $D$11, 100%, $F$11)</f>
        <v>39.999899999999997</v>
      </c>
      <c r="G1017" s="8">
        <f>CHOOSE( CONTROL!$C$33, 38.8412, 38.8395) * CHOOSE( CONTROL!$C$16, $D$11, 100%, $F$11)</f>
        <v>38.841200000000001</v>
      </c>
      <c r="H1017" s="4">
        <f>CHOOSE( CONTROL!$C$33, 39.7781, 39.7765) * CHOOSE(CONTROL!$C$16, $D$11, 100%, $F$11)</f>
        <v>39.778100000000002</v>
      </c>
      <c r="I1017" s="8">
        <f>CHOOSE( CONTROL!$C$33, 38.2459, 38.2443) * CHOOSE(CONTROL!$C$16, $D$11, 100%, $F$11)</f>
        <v>38.245899999999999</v>
      </c>
      <c r="J1017" s="4">
        <f>CHOOSE( CONTROL!$C$33, 38.103, 38.1014) * CHOOSE(CONTROL!$C$16, $D$11, 100%, $F$11)</f>
        <v>38.103000000000002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1.2927</v>
      </c>
      <c r="Q1017" s="9">
        <v>19.688099999999999</v>
      </c>
      <c r="R1017" s="9"/>
      <c r="S1017" s="11"/>
    </row>
    <row r="1018" spans="1:19" ht="15.75">
      <c r="A1018" s="13">
        <v>72136</v>
      </c>
      <c r="B1018" s="8">
        <f>CHOOSE( CONTROL!$C$33, 38.6412, 38.6395) * CHOOSE(CONTROL!$C$16, $D$11, 100%, $F$11)</f>
        <v>38.641199999999998</v>
      </c>
      <c r="C1018" s="8">
        <f>CHOOSE( CONTROL!$C$33, 38.6492, 38.6475) * CHOOSE(CONTROL!$C$16, $D$11, 100%, $F$11)</f>
        <v>38.6492</v>
      </c>
      <c r="D1018" s="8">
        <f>CHOOSE( CONTROL!$C$33, 38.6677, 38.666) * CHOOSE( CONTROL!$C$16, $D$11, 100%, $F$11)</f>
        <v>38.667700000000004</v>
      </c>
      <c r="E1018" s="12">
        <f>CHOOSE( CONTROL!$C$33, 38.6598, 38.6581) * CHOOSE( CONTROL!$C$16, $D$11, 100%, $F$11)</f>
        <v>38.659799999999997</v>
      </c>
      <c r="F1018" s="4">
        <f>CHOOSE( CONTROL!$C$33, 39.3687, 39.3671) * CHOOSE(CONTROL!$C$16, $D$11, 100%, $F$11)</f>
        <v>39.368699999999997</v>
      </c>
      <c r="G1018" s="8">
        <f>CHOOSE( CONTROL!$C$33, 38.2176, 38.2159) * CHOOSE( CONTROL!$C$16, $D$11, 100%, $F$11)</f>
        <v>38.217599999999997</v>
      </c>
      <c r="H1018" s="4">
        <f>CHOOSE( CONTROL!$C$33, 39.1543, 39.1527) * CHOOSE(CONTROL!$C$16, $D$11, 100%, $F$11)</f>
        <v>39.154299999999999</v>
      </c>
      <c r="I1018" s="8">
        <f>CHOOSE( CONTROL!$C$33, 37.6339, 37.6323) * CHOOSE(CONTROL!$C$16, $D$11, 100%, $F$11)</f>
        <v>37.633899999999997</v>
      </c>
      <c r="J1018" s="4">
        <f>CHOOSE( CONTROL!$C$33, 37.4904, 37.4888) * CHOOSE(CONTROL!$C$16, $D$11, 100%, $F$11)</f>
        <v>37.490400000000001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1.2509999999999999</v>
      </c>
      <c r="Q1018" s="9">
        <v>19.053000000000001</v>
      </c>
      <c r="R1018" s="9"/>
      <c r="S1018" s="11"/>
    </row>
    <row r="1019" spans="1:19" ht="15.75">
      <c r="A1019" s="13">
        <v>72167</v>
      </c>
      <c r="B1019" s="8">
        <f>CHOOSE( CONTROL!$C$33, 40.3034, 40.3017) * CHOOSE(CONTROL!$C$16, $D$11, 100%, $F$11)</f>
        <v>40.303400000000003</v>
      </c>
      <c r="C1019" s="8">
        <f>CHOOSE( CONTROL!$C$33, 40.3113, 40.3097) * CHOOSE(CONTROL!$C$16, $D$11, 100%, $F$11)</f>
        <v>40.311300000000003</v>
      </c>
      <c r="D1019" s="8">
        <f>CHOOSE( CONTROL!$C$33, 40.3301, 40.3285) * CHOOSE( CONTROL!$C$16, $D$11, 100%, $F$11)</f>
        <v>40.330100000000002</v>
      </c>
      <c r="E1019" s="12">
        <f>CHOOSE( CONTROL!$C$33, 40.3221, 40.3205) * CHOOSE( CONTROL!$C$16, $D$11, 100%, $F$11)</f>
        <v>40.322099999999999</v>
      </c>
      <c r="F1019" s="4">
        <f>CHOOSE( CONTROL!$C$33, 41.0309, 41.0293) * CHOOSE(CONTROL!$C$16, $D$11, 100%, $F$11)</f>
        <v>41.030900000000003</v>
      </c>
      <c r="G1019" s="8">
        <f>CHOOSE( CONTROL!$C$33, 39.8605, 39.8589) * CHOOSE( CONTROL!$C$16, $D$11, 100%, $F$11)</f>
        <v>39.860500000000002</v>
      </c>
      <c r="H1019" s="4">
        <f>CHOOSE( CONTROL!$C$33, 40.7971, 40.7954) * CHOOSE(CONTROL!$C$16, $D$11, 100%, $F$11)</f>
        <v>40.7971</v>
      </c>
      <c r="I1019" s="8">
        <f>CHOOSE( CONTROL!$C$33, 39.2487, 39.2471) * CHOOSE(CONTROL!$C$16, $D$11, 100%, $F$11)</f>
        <v>39.248699999999999</v>
      </c>
      <c r="J1019" s="4">
        <f>CHOOSE( CONTROL!$C$33, 39.1036, 39.102) * CHOOSE(CONTROL!$C$16, $D$11, 100%, $F$11)</f>
        <v>39.1036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1.2927</v>
      </c>
      <c r="Q1019" s="9">
        <v>19.688099999999999</v>
      </c>
      <c r="R1019" s="9"/>
      <c r="S1019" s="11"/>
    </row>
    <row r="1020" spans="1:19" ht="15.75">
      <c r="A1020" s="13">
        <v>72198</v>
      </c>
      <c r="B1020" s="8">
        <f>CHOOSE( CONTROL!$C$33, 37.1932, 37.1916) * CHOOSE(CONTROL!$C$16, $D$11, 100%, $F$11)</f>
        <v>37.193199999999997</v>
      </c>
      <c r="C1020" s="8">
        <f>CHOOSE( CONTROL!$C$33, 37.2012, 37.1996) * CHOOSE(CONTROL!$C$16, $D$11, 100%, $F$11)</f>
        <v>37.2012</v>
      </c>
      <c r="D1020" s="8">
        <f>CHOOSE( CONTROL!$C$33, 37.2201, 37.2184) * CHOOSE( CONTROL!$C$16, $D$11, 100%, $F$11)</f>
        <v>37.220100000000002</v>
      </c>
      <c r="E1020" s="12">
        <f>CHOOSE( CONTROL!$C$33, 37.212, 37.2104) * CHOOSE( CONTROL!$C$16, $D$11, 100%, $F$11)</f>
        <v>37.212000000000003</v>
      </c>
      <c r="F1020" s="4">
        <f>CHOOSE( CONTROL!$C$33, 37.9208, 37.9191) * CHOOSE(CONTROL!$C$16, $D$11, 100%, $F$11)</f>
        <v>37.9208</v>
      </c>
      <c r="G1020" s="8">
        <f>CHOOSE( CONTROL!$C$33, 36.7868, 36.7852) * CHOOSE( CONTROL!$C$16, $D$11, 100%, $F$11)</f>
        <v>36.786799999999999</v>
      </c>
      <c r="H1020" s="4">
        <f>CHOOSE( CONTROL!$C$33, 37.7233, 37.7217) * CHOOSE(CONTROL!$C$16, $D$11, 100%, $F$11)</f>
        <v>37.723300000000002</v>
      </c>
      <c r="I1020" s="8">
        <f>CHOOSE( CONTROL!$C$33, 36.2291, 36.2275) * CHOOSE(CONTROL!$C$16, $D$11, 100%, $F$11)</f>
        <v>36.229100000000003</v>
      </c>
      <c r="J1020" s="4">
        <f>CHOOSE( CONTROL!$C$33, 36.0852, 36.0836) * CHOOSE(CONTROL!$C$16, $D$11, 100%, $F$11)</f>
        <v>36.0852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1.2927</v>
      </c>
      <c r="Q1020" s="9">
        <v>19.688099999999999</v>
      </c>
      <c r="R1020" s="9"/>
      <c r="S1020" s="11"/>
    </row>
    <row r="1021" spans="1:19" ht="15.75">
      <c r="A1021" s="13">
        <v>72228</v>
      </c>
      <c r="B1021" s="8">
        <f>CHOOSE( CONTROL!$C$33, 36.4144, 36.4128) * CHOOSE(CONTROL!$C$16, $D$11, 100%, $F$11)</f>
        <v>36.414400000000001</v>
      </c>
      <c r="C1021" s="8">
        <f>CHOOSE( CONTROL!$C$33, 36.4224, 36.4207) * CHOOSE(CONTROL!$C$16, $D$11, 100%, $F$11)</f>
        <v>36.422400000000003</v>
      </c>
      <c r="D1021" s="8">
        <f>CHOOSE( CONTROL!$C$33, 36.4412, 36.4395) * CHOOSE( CONTROL!$C$16, $D$11, 100%, $F$11)</f>
        <v>36.441200000000002</v>
      </c>
      <c r="E1021" s="12">
        <f>CHOOSE( CONTROL!$C$33, 36.4332, 36.4315) * CHOOSE( CONTROL!$C$16, $D$11, 100%, $F$11)</f>
        <v>36.433199999999999</v>
      </c>
      <c r="F1021" s="4">
        <f>CHOOSE( CONTROL!$C$33, 37.142, 37.1403) * CHOOSE(CONTROL!$C$16, $D$11, 100%, $F$11)</f>
        <v>37.142000000000003</v>
      </c>
      <c r="G1021" s="8">
        <f>CHOOSE( CONTROL!$C$33, 36.0171, 36.0154) * CHOOSE( CONTROL!$C$16, $D$11, 100%, $F$11)</f>
        <v>36.017099999999999</v>
      </c>
      <c r="H1021" s="4">
        <f>CHOOSE( CONTROL!$C$33, 36.9537, 36.952) * CHOOSE(CONTROL!$C$16, $D$11, 100%, $F$11)</f>
        <v>36.953699999999998</v>
      </c>
      <c r="I1021" s="8">
        <f>CHOOSE( CONTROL!$C$33, 35.4725, 35.4709) * CHOOSE(CONTROL!$C$16, $D$11, 100%, $F$11)</f>
        <v>35.472499999999997</v>
      </c>
      <c r="J1021" s="4">
        <f>CHOOSE( CONTROL!$C$33, 35.3294, 35.3278) * CHOOSE(CONTROL!$C$16, $D$11, 100%, $F$11)</f>
        <v>35.3294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1.2509999999999999</v>
      </c>
      <c r="Q1021" s="9">
        <v>19.053000000000001</v>
      </c>
      <c r="R1021" s="9"/>
      <c r="S1021" s="11"/>
    </row>
    <row r="1022" spans="1:19" ht="15.75">
      <c r="A1022" s="13">
        <v>72259</v>
      </c>
      <c r="B1022" s="8">
        <f>CHOOSE( CONTROL!$C$33, 38.0292, 38.0281) * CHOOSE(CONTROL!$C$16, $D$11, 100%, $F$11)</f>
        <v>38.029200000000003</v>
      </c>
      <c r="C1022" s="8">
        <f>CHOOSE( CONTROL!$C$33, 38.0345, 38.0335) * CHOOSE(CONTROL!$C$16, $D$11, 100%, $F$11)</f>
        <v>38.034500000000001</v>
      </c>
      <c r="D1022" s="8">
        <f>CHOOSE( CONTROL!$C$33, 38.059, 38.0579) * CHOOSE( CONTROL!$C$16, $D$11, 100%, $F$11)</f>
        <v>38.058999999999997</v>
      </c>
      <c r="E1022" s="12">
        <f>CHOOSE( CONTROL!$C$33, 38.0503, 38.0493) * CHOOSE( CONTROL!$C$16, $D$11, 100%, $F$11)</f>
        <v>38.0503</v>
      </c>
      <c r="F1022" s="4">
        <f>CHOOSE( CONTROL!$C$33, 38.7585, 38.7574) * CHOOSE(CONTROL!$C$16, $D$11, 100%, $F$11)</f>
        <v>38.758499999999998</v>
      </c>
      <c r="G1022" s="8">
        <f>CHOOSE( CONTROL!$C$33, 37.6148, 37.6137) * CHOOSE( CONTROL!$C$16, $D$11, 100%, $F$11)</f>
        <v>37.614800000000002</v>
      </c>
      <c r="H1022" s="4">
        <f>CHOOSE( CONTROL!$C$33, 38.5512, 38.5502) * CHOOSE(CONTROL!$C$16, $D$11, 100%, $F$11)</f>
        <v>38.551200000000001</v>
      </c>
      <c r="I1022" s="8">
        <f>CHOOSE( CONTROL!$C$33, 37.043, 37.0419) * CHOOSE(CONTROL!$C$16, $D$11, 100%, $F$11)</f>
        <v>37.042999999999999</v>
      </c>
      <c r="J1022" s="4">
        <f>CHOOSE( CONTROL!$C$33, 36.8982, 36.8972) * CHOOSE(CONTROL!$C$16, $D$11, 100%, $F$11)</f>
        <v>36.898200000000003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1.2927</v>
      </c>
      <c r="Q1022" s="9">
        <v>19.688099999999999</v>
      </c>
      <c r="R1022" s="9"/>
      <c r="S1022" s="11"/>
    </row>
    <row r="1023" spans="1:19" ht="15.75">
      <c r="A1023" s="13">
        <v>72289</v>
      </c>
      <c r="B1023" s="8">
        <f>CHOOSE( CONTROL!$C$33, 41.0136, 41.0125) * CHOOSE(CONTROL!$C$16, $D$11, 100%, $F$11)</f>
        <v>41.013599999999997</v>
      </c>
      <c r="C1023" s="8">
        <f>CHOOSE( CONTROL!$C$33, 41.0187, 41.0176) * CHOOSE(CONTROL!$C$16, $D$11, 100%, $F$11)</f>
        <v>41.018700000000003</v>
      </c>
      <c r="D1023" s="8">
        <f>CHOOSE( CONTROL!$C$33, 41.0091, 41.008) * CHOOSE( CONTROL!$C$16, $D$11, 100%, $F$11)</f>
        <v>41.009099999999997</v>
      </c>
      <c r="E1023" s="12">
        <f>CHOOSE( CONTROL!$C$33, 41.0121, 41.011) * CHOOSE( CONTROL!$C$16, $D$11, 100%, $F$11)</f>
        <v>41.012099999999997</v>
      </c>
      <c r="F1023" s="4">
        <f>CHOOSE( CONTROL!$C$33, 41.6738, 41.6727) * CHOOSE(CONTROL!$C$16, $D$11, 100%, $F$11)</f>
        <v>41.6738</v>
      </c>
      <c r="G1023" s="8">
        <f>CHOOSE( CONTROL!$C$33, 40.5512, 40.5502) * CHOOSE( CONTROL!$C$16, $D$11, 100%, $F$11)</f>
        <v>40.551200000000001</v>
      </c>
      <c r="H1023" s="4">
        <f>CHOOSE( CONTROL!$C$33, 41.4324, 41.4313) * CHOOSE(CONTROL!$C$16, $D$11, 100%, $F$11)</f>
        <v>41.432400000000001</v>
      </c>
      <c r="I1023" s="8">
        <f>CHOOSE( CONTROL!$C$33, 40.0006, 39.9995) * CHOOSE(CONTROL!$C$16, $D$11, 100%, $F$11)</f>
        <v>40.000599999999999</v>
      </c>
      <c r="J1023" s="4">
        <f>CHOOSE( CONTROL!$C$33, 39.795, 39.7939) * CHOOSE(CONTROL!$C$16, $D$11, 100%, $F$11)</f>
        <v>39.795000000000002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72320</v>
      </c>
      <c r="B1024" s="8">
        <f>CHOOSE( CONTROL!$C$33, 40.939, 40.938) * CHOOSE(CONTROL!$C$16, $D$11, 100%, $F$11)</f>
        <v>40.939</v>
      </c>
      <c r="C1024" s="8">
        <f>CHOOSE( CONTROL!$C$33, 40.9441, 40.943) * CHOOSE(CONTROL!$C$16, $D$11, 100%, $F$11)</f>
        <v>40.944099999999999</v>
      </c>
      <c r="D1024" s="8">
        <f>CHOOSE( CONTROL!$C$33, 40.9359, 40.9349) * CHOOSE( CONTROL!$C$16, $D$11, 100%, $F$11)</f>
        <v>40.935899999999997</v>
      </c>
      <c r="E1024" s="12">
        <f>CHOOSE( CONTROL!$C$33, 40.9384, 40.9373) * CHOOSE( CONTROL!$C$16, $D$11, 100%, $F$11)</f>
        <v>40.938400000000001</v>
      </c>
      <c r="F1024" s="4">
        <f>CHOOSE( CONTROL!$C$33, 41.5992, 41.5981) * CHOOSE(CONTROL!$C$16, $D$11, 100%, $F$11)</f>
        <v>41.599200000000003</v>
      </c>
      <c r="G1024" s="8">
        <f>CHOOSE( CONTROL!$C$33, 40.4786, 40.4775) * CHOOSE( CONTROL!$C$16, $D$11, 100%, $F$11)</f>
        <v>40.4786</v>
      </c>
      <c r="H1024" s="4">
        <f>CHOOSE( CONTROL!$C$33, 41.3587, 41.3576) * CHOOSE(CONTROL!$C$16, $D$11, 100%, $F$11)</f>
        <v>41.358699999999999</v>
      </c>
      <c r="I1024" s="8">
        <f>CHOOSE( CONTROL!$C$33, 39.9326, 39.9315) * CHOOSE(CONTROL!$C$16, $D$11, 100%, $F$11)</f>
        <v>39.932600000000001</v>
      </c>
      <c r="J1024" s="4">
        <f>CHOOSE( CONTROL!$C$33, 39.7226, 39.7215) * CHOOSE(CONTROL!$C$16, $D$11, 100%, $F$11)</f>
        <v>39.7226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72351</v>
      </c>
      <c r="B1025" s="8">
        <f>CHOOSE( CONTROL!$C$33, 42.1463, 42.1452) * CHOOSE(CONTROL!$C$16, $D$11, 100%, $F$11)</f>
        <v>42.146299999999997</v>
      </c>
      <c r="C1025" s="8">
        <f>CHOOSE( CONTROL!$C$33, 42.1514, 42.1503) * CHOOSE(CONTROL!$C$16, $D$11, 100%, $F$11)</f>
        <v>42.151400000000002</v>
      </c>
      <c r="D1025" s="8">
        <f>CHOOSE( CONTROL!$C$33, 42.154, 42.153) * CHOOSE( CONTROL!$C$16, $D$11, 100%, $F$11)</f>
        <v>42.154000000000003</v>
      </c>
      <c r="E1025" s="12">
        <f>CHOOSE( CONTROL!$C$33, 42.1525, 42.1515) * CHOOSE( CONTROL!$C$16, $D$11, 100%, $F$11)</f>
        <v>42.152500000000003</v>
      </c>
      <c r="F1025" s="4">
        <f>CHOOSE( CONTROL!$C$33, 42.8065, 42.8054) * CHOOSE(CONTROL!$C$16, $D$11, 100%, $F$11)</f>
        <v>42.8065</v>
      </c>
      <c r="G1025" s="8">
        <f>CHOOSE( CONTROL!$C$33, 41.6745, 41.6734) * CHOOSE( CONTROL!$C$16, $D$11, 100%, $F$11)</f>
        <v>41.674500000000002</v>
      </c>
      <c r="H1025" s="4">
        <f>CHOOSE( CONTROL!$C$33, 42.5518, 42.5507) * CHOOSE(CONTROL!$C$16, $D$11, 100%, $F$11)</f>
        <v>42.5518</v>
      </c>
      <c r="I1025" s="8">
        <f>CHOOSE( CONTROL!$C$33, 41.0763, 41.0753) * CHOOSE(CONTROL!$C$16, $D$11, 100%, $F$11)</f>
        <v>41.076300000000003</v>
      </c>
      <c r="J1025" s="4">
        <f>CHOOSE( CONTROL!$C$33, 40.8943, 40.8932) * CHOOSE(CONTROL!$C$16, $D$11, 100%, $F$11)</f>
        <v>40.894300000000001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72379</v>
      </c>
      <c r="B1026" s="8">
        <f>CHOOSE( CONTROL!$C$33, 39.4223, 39.4212) * CHOOSE(CONTROL!$C$16, $D$11, 100%, $F$11)</f>
        <v>39.4223</v>
      </c>
      <c r="C1026" s="8">
        <f>CHOOSE( CONTROL!$C$33, 39.4274, 39.4263) * CHOOSE(CONTROL!$C$16, $D$11, 100%, $F$11)</f>
        <v>39.427399999999999</v>
      </c>
      <c r="D1026" s="8">
        <f>CHOOSE( CONTROL!$C$33, 39.4299, 39.4288) * CHOOSE( CONTROL!$C$16, $D$11, 100%, $F$11)</f>
        <v>39.429900000000004</v>
      </c>
      <c r="E1026" s="12">
        <f>CHOOSE( CONTROL!$C$33, 39.4284, 39.4273) * CHOOSE( CONTROL!$C$16, $D$11, 100%, $F$11)</f>
        <v>39.428400000000003</v>
      </c>
      <c r="F1026" s="4">
        <f>CHOOSE( CONTROL!$C$33, 40.0824, 40.0813) * CHOOSE(CONTROL!$C$16, $D$11, 100%, $F$11)</f>
        <v>40.0824</v>
      </c>
      <c r="G1026" s="8">
        <f>CHOOSE( CONTROL!$C$33, 38.9823, 38.9813) * CHOOSE( CONTROL!$C$16, $D$11, 100%, $F$11)</f>
        <v>38.982300000000002</v>
      </c>
      <c r="H1026" s="4">
        <f>CHOOSE( CONTROL!$C$33, 39.8597, 39.8586) * CHOOSE(CONTROL!$C$16, $D$11, 100%, $F$11)</f>
        <v>39.859699999999997</v>
      </c>
      <c r="I1026" s="8">
        <f>CHOOSE( CONTROL!$C$33, 38.431, 38.43) * CHOOSE(CONTROL!$C$16, $D$11, 100%, $F$11)</f>
        <v>38.430999999999997</v>
      </c>
      <c r="J1026" s="4">
        <f>CHOOSE( CONTROL!$C$33, 38.2506, 38.2495) * CHOOSE(CONTROL!$C$16, $D$11, 100%, $F$11)</f>
        <v>38.250599999999999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72410</v>
      </c>
      <c r="B1027" s="8">
        <f>CHOOSE( CONTROL!$C$33, 38.5833, 38.5822) * CHOOSE(CONTROL!$C$16, $D$11, 100%, $F$11)</f>
        <v>38.583300000000001</v>
      </c>
      <c r="C1027" s="8">
        <f>CHOOSE( CONTROL!$C$33, 38.5884, 38.5873) * CHOOSE(CONTROL!$C$16, $D$11, 100%, $F$11)</f>
        <v>38.5884</v>
      </c>
      <c r="D1027" s="8">
        <f>CHOOSE( CONTROL!$C$33, 38.5902, 38.5892) * CHOOSE( CONTROL!$C$16, $D$11, 100%, $F$11)</f>
        <v>38.590200000000003</v>
      </c>
      <c r="E1027" s="12">
        <f>CHOOSE( CONTROL!$C$33, 38.589, 38.588) * CHOOSE( CONTROL!$C$16, $D$11, 100%, $F$11)</f>
        <v>38.588999999999999</v>
      </c>
      <c r="F1027" s="4">
        <f>CHOOSE( CONTROL!$C$33, 39.2434, 39.2423) * CHOOSE(CONTROL!$C$16, $D$11, 100%, $F$11)</f>
        <v>39.243400000000001</v>
      </c>
      <c r="G1027" s="8">
        <f>CHOOSE( CONTROL!$C$33, 38.1527, 38.1516) * CHOOSE( CONTROL!$C$16, $D$11, 100%, $F$11)</f>
        <v>38.152700000000003</v>
      </c>
      <c r="H1027" s="4">
        <f>CHOOSE( CONTROL!$C$33, 39.0305, 39.0294) * CHOOSE(CONTROL!$C$16, $D$11, 100%, $F$11)</f>
        <v>39.030500000000004</v>
      </c>
      <c r="I1027" s="8">
        <f>CHOOSE( CONTROL!$C$33, 37.6143, 37.6132) * CHOOSE(CONTROL!$C$16, $D$11, 100%, $F$11)</f>
        <v>37.6143</v>
      </c>
      <c r="J1027" s="4">
        <f>CHOOSE( CONTROL!$C$33, 37.4363, 37.4353) * CHOOSE(CONTROL!$C$16, $D$11, 100%, $F$11)</f>
        <v>37.436300000000003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72440</v>
      </c>
      <c r="B1028" s="8">
        <f>CHOOSE( CONTROL!$C$33, 39.1703, 39.1692) * CHOOSE(CONTROL!$C$16, $D$11, 100%, $F$11)</f>
        <v>39.170299999999997</v>
      </c>
      <c r="C1028" s="8">
        <f>CHOOSE( CONTROL!$C$33, 39.1748, 39.1738) * CHOOSE(CONTROL!$C$16, $D$11, 100%, $F$11)</f>
        <v>39.174799999999998</v>
      </c>
      <c r="D1028" s="8">
        <f>CHOOSE( CONTROL!$C$33, 39.1992, 39.1981) * CHOOSE( CONTROL!$C$16, $D$11, 100%, $F$11)</f>
        <v>39.199199999999998</v>
      </c>
      <c r="E1028" s="12">
        <f>CHOOSE( CONTROL!$C$33, 39.1906, 39.1895) * CHOOSE( CONTROL!$C$16, $D$11, 100%, $F$11)</f>
        <v>39.190600000000003</v>
      </c>
      <c r="F1028" s="4">
        <f>CHOOSE( CONTROL!$C$33, 39.8992, 39.8982) * CHOOSE(CONTROL!$C$16, $D$11, 100%, $F$11)</f>
        <v>39.8992</v>
      </c>
      <c r="G1028" s="8">
        <f>CHOOSE( CONTROL!$C$33, 38.7418, 38.7407) * CHOOSE( CONTROL!$C$16, $D$11, 100%, $F$11)</f>
        <v>38.741799999999998</v>
      </c>
      <c r="H1028" s="4">
        <f>CHOOSE( CONTROL!$C$33, 39.6786, 39.6776) * CHOOSE(CONTROL!$C$16, $D$11, 100%, $F$11)</f>
        <v>39.678600000000003</v>
      </c>
      <c r="I1028" s="8">
        <f>CHOOSE( CONTROL!$C$33, 38.1488, 38.1477) * CHOOSE(CONTROL!$C$16, $D$11, 100%, $F$11)</f>
        <v>38.148800000000001</v>
      </c>
      <c r="J1028" s="4">
        <f>CHOOSE( CONTROL!$C$33, 38.0053, 38.0043) * CHOOSE(CONTROL!$C$16, $D$11, 100%, $F$11)</f>
        <v>38.005299999999998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1.2509999999999999</v>
      </c>
      <c r="Q1028" s="9">
        <v>19.053000000000001</v>
      </c>
      <c r="R1028" s="9"/>
      <c r="S1028" s="11"/>
    </row>
    <row r="1029" spans="1:19" ht="15.75">
      <c r="A1029" s="13">
        <v>72471</v>
      </c>
      <c r="B1029" s="8">
        <f>CHOOSE( CONTROL!$C$33, 40.2157, 40.214) * CHOOSE(CONTROL!$C$16, $D$11, 100%, $F$11)</f>
        <v>40.215699999999998</v>
      </c>
      <c r="C1029" s="8">
        <f>CHOOSE( CONTROL!$C$33, 40.2237, 40.222) * CHOOSE(CONTROL!$C$16, $D$11, 100%, $F$11)</f>
        <v>40.223700000000001</v>
      </c>
      <c r="D1029" s="8">
        <f>CHOOSE( CONTROL!$C$33, 40.242, 40.2403) * CHOOSE( CONTROL!$C$16, $D$11, 100%, $F$11)</f>
        <v>40.241999999999997</v>
      </c>
      <c r="E1029" s="12">
        <f>CHOOSE( CONTROL!$C$33, 40.2341, 40.2324) * CHOOSE( CONTROL!$C$16, $D$11, 100%, $F$11)</f>
        <v>40.234099999999998</v>
      </c>
      <c r="F1029" s="4">
        <f>CHOOSE( CONTROL!$C$33, 40.9432, 40.9416) * CHOOSE(CONTROL!$C$16, $D$11, 100%, $F$11)</f>
        <v>40.943199999999997</v>
      </c>
      <c r="G1029" s="8">
        <f>CHOOSE( CONTROL!$C$33, 39.7734, 39.7718) * CHOOSE( CONTROL!$C$16, $D$11, 100%, $F$11)</f>
        <v>39.773400000000002</v>
      </c>
      <c r="H1029" s="4">
        <f>CHOOSE( CONTROL!$C$33, 40.7104, 40.7088) * CHOOSE(CONTROL!$C$16, $D$11, 100%, $F$11)</f>
        <v>40.7104</v>
      </c>
      <c r="I1029" s="8">
        <f>CHOOSE( CONTROL!$C$33, 39.1619, 39.1603) * CHOOSE(CONTROL!$C$16, $D$11, 100%, $F$11)</f>
        <v>39.161900000000003</v>
      </c>
      <c r="J1029" s="4">
        <f>CHOOSE( CONTROL!$C$33, 39.0185, 39.0169) * CHOOSE(CONTROL!$C$16, $D$11, 100%, $F$11)</f>
        <v>39.018500000000003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1.2927</v>
      </c>
      <c r="Q1029" s="9">
        <v>19.688099999999999</v>
      </c>
      <c r="R1029" s="9"/>
      <c r="S1029" s="11"/>
    </row>
    <row r="1030" spans="1:19" ht="15.75">
      <c r="A1030" s="13">
        <v>72501</v>
      </c>
      <c r="B1030" s="8">
        <f>CHOOSE( CONTROL!$C$33, 39.5693, 39.5677) * CHOOSE(CONTROL!$C$16, $D$11, 100%, $F$11)</f>
        <v>39.569299999999998</v>
      </c>
      <c r="C1030" s="8">
        <f>CHOOSE( CONTROL!$C$33, 39.5773, 39.5756) * CHOOSE(CONTROL!$C$16, $D$11, 100%, $F$11)</f>
        <v>39.577300000000001</v>
      </c>
      <c r="D1030" s="8">
        <f>CHOOSE( CONTROL!$C$33, 39.5958, 39.5942) * CHOOSE( CONTROL!$C$16, $D$11, 100%, $F$11)</f>
        <v>39.595799999999997</v>
      </c>
      <c r="E1030" s="12">
        <f>CHOOSE( CONTROL!$C$33, 39.5879, 39.5863) * CHOOSE( CONTROL!$C$16, $D$11, 100%, $F$11)</f>
        <v>39.587899999999998</v>
      </c>
      <c r="F1030" s="4">
        <f>CHOOSE( CONTROL!$C$33, 40.2969, 40.2952) * CHOOSE(CONTROL!$C$16, $D$11, 100%, $F$11)</f>
        <v>40.296900000000001</v>
      </c>
      <c r="G1030" s="8">
        <f>CHOOSE( CONTROL!$C$33, 39.1348, 39.1332) * CHOOSE( CONTROL!$C$16, $D$11, 100%, $F$11)</f>
        <v>39.134799999999998</v>
      </c>
      <c r="H1030" s="4">
        <f>CHOOSE( CONTROL!$C$33, 40.0716, 40.07) * CHOOSE(CONTROL!$C$16, $D$11, 100%, $F$11)</f>
        <v>40.071599999999997</v>
      </c>
      <c r="I1030" s="8">
        <f>CHOOSE( CONTROL!$C$33, 38.5351, 38.5335) * CHOOSE(CONTROL!$C$16, $D$11, 100%, $F$11)</f>
        <v>38.5351</v>
      </c>
      <c r="J1030" s="4">
        <f>CHOOSE( CONTROL!$C$33, 38.3912, 38.3896) * CHOOSE(CONTROL!$C$16, $D$11, 100%, $F$11)</f>
        <v>38.391199999999998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1.2509999999999999</v>
      </c>
      <c r="Q1030" s="9">
        <v>19.053000000000001</v>
      </c>
      <c r="R1030" s="9"/>
      <c r="S1030" s="11"/>
    </row>
    <row r="1031" spans="1:19" ht="15.75">
      <c r="A1031" s="13">
        <v>72532</v>
      </c>
      <c r="B1031" s="8">
        <f>CHOOSE( CONTROL!$C$33, 41.2715, 41.2698) * CHOOSE(CONTROL!$C$16, $D$11, 100%, $F$11)</f>
        <v>41.271500000000003</v>
      </c>
      <c r="C1031" s="8">
        <f>CHOOSE( CONTROL!$C$33, 41.2794, 41.2778) * CHOOSE(CONTROL!$C$16, $D$11, 100%, $F$11)</f>
        <v>41.279400000000003</v>
      </c>
      <c r="D1031" s="8">
        <f>CHOOSE( CONTROL!$C$33, 41.2982, 41.2966) * CHOOSE( CONTROL!$C$16, $D$11, 100%, $F$11)</f>
        <v>41.298200000000001</v>
      </c>
      <c r="E1031" s="12">
        <f>CHOOSE( CONTROL!$C$33, 41.2902, 41.2886) * CHOOSE( CONTROL!$C$16, $D$11, 100%, $F$11)</f>
        <v>41.290199999999999</v>
      </c>
      <c r="F1031" s="4">
        <f>CHOOSE( CONTROL!$C$33, 41.999, 41.9973) * CHOOSE(CONTROL!$C$16, $D$11, 100%, $F$11)</f>
        <v>41.999000000000002</v>
      </c>
      <c r="G1031" s="8">
        <f>CHOOSE( CONTROL!$C$33, 40.8172, 40.8156) * CHOOSE( CONTROL!$C$16, $D$11, 100%, $F$11)</f>
        <v>40.8172</v>
      </c>
      <c r="H1031" s="4">
        <f>CHOOSE( CONTROL!$C$33, 41.7538, 41.7522) * CHOOSE(CONTROL!$C$16, $D$11, 100%, $F$11)</f>
        <v>41.753799999999998</v>
      </c>
      <c r="I1031" s="8">
        <f>CHOOSE( CONTROL!$C$33, 40.1887, 40.1871) * CHOOSE(CONTROL!$C$16, $D$11, 100%, $F$11)</f>
        <v>40.188699999999997</v>
      </c>
      <c r="J1031" s="4">
        <f>CHOOSE( CONTROL!$C$33, 40.0431, 40.0415) * CHOOSE(CONTROL!$C$16, $D$11, 100%, $F$11)</f>
        <v>40.043100000000003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1.2927</v>
      </c>
      <c r="Q1031" s="9">
        <v>19.688099999999999</v>
      </c>
      <c r="R1031" s="9"/>
      <c r="S1031" s="11"/>
    </row>
    <row r="1032" spans="1:19" ht="15.75">
      <c r="A1032" s="13">
        <v>72563</v>
      </c>
      <c r="B1032" s="8">
        <f>CHOOSE( CONTROL!$C$33, 38.0866, 38.0849) * CHOOSE(CONTROL!$C$16, $D$11, 100%, $F$11)</f>
        <v>38.086599999999997</v>
      </c>
      <c r="C1032" s="8">
        <f>CHOOSE( CONTROL!$C$33, 38.0946, 38.0929) * CHOOSE(CONTROL!$C$16, $D$11, 100%, $F$11)</f>
        <v>38.0946</v>
      </c>
      <c r="D1032" s="8">
        <f>CHOOSE( CONTROL!$C$33, 38.1134, 38.1118) * CHOOSE( CONTROL!$C$16, $D$11, 100%, $F$11)</f>
        <v>38.113399999999999</v>
      </c>
      <c r="E1032" s="12">
        <f>CHOOSE( CONTROL!$C$33, 38.1054, 38.1037) * CHOOSE( CONTROL!$C$16, $D$11, 100%, $F$11)</f>
        <v>38.105400000000003</v>
      </c>
      <c r="F1032" s="4">
        <f>CHOOSE( CONTROL!$C$33, 38.8141, 38.8125) * CHOOSE(CONTROL!$C$16, $D$11, 100%, $F$11)</f>
        <v>38.814100000000003</v>
      </c>
      <c r="G1032" s="8">
        <f>CHOOSE( CONTROL!$C$33, 37.6697, 37.6681) * CHOOSE( CONTROL!$C$16, $D$11, 100%, $F$11)</f>
        <v>37.669699999999999</v>
      </c>
      <c r="H1032" s="4">
        <f>CHOOSE( CONTROL!$C$33, 38.6062, 38.6046) * CHOOSE(CONTROL!$C$16, $D$11, 100%, $F$11)</f>
        <v>38.606200000000001</v>
      </c>
      <c r="I1032" s="8">
        <f>CHOOSE( CONTROL!$C$33, 37.0965, 37.0949) * CHOOSE(CONTROL!$C$16, $D$11, 100%, $F$11)</f>
        <v>37.096499999999999</v>
      </c>
      <c r="J1032" s="4">
        <f>CHOOSE( CONTROL!$C$33, 36.9522, 36.9506) * CHOOSE(CONTROL!$C$16, $D$11, 100%, $F$11)</f>
        <v>36.952199999999998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1.2927</v>
      </c>
      <c r="Q1032" s="9">
        <v>19.688099999999999</v>
      </c>
      <c r="R1032" s="9"/>
      <c r="S1032" s="11"/>
    </row>
    <row r="1033" spans="1:19" ht="15.75">
      <c r="A1033" s="13">
        <v>72593</v>
      </c>
      <c r="B1033" s="8">
        <f>CHOOSE( CONTROL!$C$33, 37.2891, 37.2874) * CHOOSE(CONTROL!$C$16, $D$11, 100%, $F$11)</f>
        <v>37.289099999999998</v>
      </c>
      <c r="C1033" s="8">
        <f>CHOOSE( CONTROL!$C$33, 37.297, 37.2954) * CHOOSE(CONTROL!$C$16, $D$11, 100%, $F$11)</f>
        <v>37.296999999999997</v>
      </c>
      <c r="D1033" s="8">
        <f>CHOOSE( CONTROL!$C$33, 37.3158, 37.3141) * CHOOSE( CONTROL!$C$16, $D$11, 100%, $F$11)</f>
        <v>37.315800000000003</v>
      </c>
      <c r="E1033" s="12">
        <f>CHOOSE( CONTROL!$C$33, 37.3078, 37.3061) * CHOOSE( CONTROL!$C$16, $D$11, 100%, $F$11)</f>
        <v>37.3078</v>
      </c>
      <c r="F1033" s="4">
        <f>CHOOSE( CONTROL!$C$33, 38.0166, 38.015) * CHOOSE(CONTROL!$C$16, $D$11, 100%, $F$11)</f>
        <v>38.016599999999997</v>
      </c>
      <c r="G1033" s="8">
        <f>CHOOSE( CONTROL!$C$33, 36.8815, 36.8798) * CHOOSE( CONTROL!$C$16, $D$11, 100%, $F$11)</f>
        <v>36.881500000000003</v>
      </c>
      <c r="H1033" s="4">
        <f>CHOOSE( CONTROL!$C$33, 37.818, 37.8164) * CHOOSE(CONTROL!$C$16, $D$11, 100%, $F$11)</f>
        <v>37.817999999999998</v>
      </c>
      <c r="I1033" s="8">
        <f>CHOOSE( CONTROL!$C$33, 36.3217, 36.3201) * CHOOSE(CONTROL!$C$16, $D$11, 100%, $F$11)</f>
        <v>36.3217</v>
      </c>
      <c r="J1033" s="4">
        <f>CHOOSE( CONTROL!$C$33, 36.1782, 36.1766) * CHOOSE(CONTROL!$C$16, $D$11, 100%, $F$11)</f>
        <v>36.178199999999997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1.2509999999999999</v>
      </c>
      <c r="Q1033" s="9">
        <v>19.053000000000001</v>
      </c>
      <c r="R1033" s="9"/>
      <c r="S1033" s="11"/>
    </row>
    <row r="1034" spans="1:19" ht="15.75">
      <c r="A1034" s="13">
        <v>72624</v>
      </c>
      <c r="B1034" s="8">
        <f>CHOOSE( CONTROL!$C$33, 38.9427, 38.9416) * CHOOSE(CONTROL!$C$16, $D$11, 100%, $F$11)</f>
        <v>38.942700000000002</v>
      </c>
      <c r="C1034" s="8">
        <f>CHOOSE( CONTROL!$C$33, 38.948, 38.947) * CHOOSE(CONTROL!$C$16, $D$11, 100%, $F$11)</f>
        <v>38.948</v>
      </c>
      <c r="D1034" s="8">
        <f>CHOOSE( CONTROL!$C$33, 38.9724, 38.9714) * CHOOSE( CONTROL!$C$16, $D$11, 100%, $F$11)</f>
        <v>38.9724</v>
      </c>
      <c r="E1034" s="12">
        <f>CHOOSE( CONTROL!$C$33, 38.9638, 38.9628) * CHOOSE( CONTROL!$C$16, $D$11, 100%, $F$11)</f>
        <v>38.963799999999999</v>
      </c>
      <c r="F1034" s="4">
        <f>CHOOSE( CONTROL!$C$33, 39.672, 39.6709) * CHOOSE(CONTROL!$C$16, $D$11, 100%, $F$11)</f>
        <v>39.671999999999997</v>
      </c>
      <c r="G1034" s="8">
        <f>CHOOSE( CONTROL!$C$33, 38.5176, 38.5165) * CHOOSE( CONTROL!$C$16, $D$11, 100%, $F$11)</f>
        <v>38.517600000000002</v>
      </c>
      <c r="H1034" s="4">
        <f>CHOOSE( CONTROL!$C$33, 39.454, 39.453) * CHOOSE(CONTROL!$C$16, $D$11, 100%, $F$11)</f>
        <v>39.454000000000001</v>
      </c>
      <c r="I1034" s="8">
        <f>CHOOSE( CONTROL!$C$33, 37.93, 37.9289) * CHOOSE(CONTROL!$C$16, $D$11, 100%, $F$11)</f>
        <v>37.93</v>
      </c>
      <c r="J1034" s="4">
        <f>CHOOSE( CONTROL!$C$33, 37.7847, 37.7837) * CHOOSE(CONTROL!$C$16, $D$11, 100%, $F$11)</f>
        <v>37.784700000000001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1.2927</v>
      </c>
      <c r="Q1034" s="9">
        <v>19.688099999999999</v>
      </c>
      <c r="R1034" s="9"/>
      <c r="S1034" s="11"/>
    </row>
    <row r="1035" spans="1:19" ht="15.75">
      <c r="A1035" s="13">
        <v>72654</v>
      </c>
      <c r="B1035" s="8">
        <f>CHOOSE( CONTROL!$C$33, 41.9988, 41.9978) * CHOOSE(CONTROL!$C$16, $D$11, 100%, $F$11)</f>
        <v>41.998800000000003</v>
      </c>
      <c r="C1035" s="8">
        <f>CHOOSE( CONTROL!$C$33, 42.0039, 42.0028) * CHOOSE(CONTROL!$C$16, $D$11, 100%, $F$11)</f>
        <v>42.003900000000002</v>
      </c>
      <c r="D1035" s="8">
        <f>CHOOSE( CONTROL!$C$33, 41.9943, 41.9932) * CHOOSE( CONTROL!$C$16, $D$11, 100%, $F$11)</f>
        <v>41.994300000000003</v>
      </c>
      <c r="E1035" s="12">
        <f>CHOOSE( CONTROL!$C$33, 41.9973, 41.9962) * CHOOSE( CONTROL!$C$16, $D$11, 100%, $F$11)</f>
        <v>41.997300000000003</v>
      </c>
      <c r="F1035" s="4">
        <f>CHOOSE( CONTROL!$C$33, 42.659, 42.6579) * CHOOSE(CONTROL!$C$16, $D$11, 100%, $F$11)</f>
        <v>42.658999999999999</v>
      </c>
      <c r="G1035" s="8">
        <f>CHOOSE( CONTROL!$C$33, 41.5249, 41.5238) * CHOOSE( CONTROL!$C$16, $D$11, 100%, $F$11)</f>
        <v>41.524900000000002</v>
      </c>
      <c r="H1035" s="4">
        <f>CHOOSE( CONTROL!$C$33, 42.406, 42.405) * CHOOSE(CONTROL!$C$16, $D$11, 100%, $F$11)</f>
        <v>42.405999999999999</v>
      </c>
      <c r="I1035" s="8">
        <f>CHOOSE( CONTROL!$C$33, 40.9572, 40.9561) * CHOOSE(CONTROL!$C$16, $D$11, 100%, $F$11)</f>
        <v>40.9572</v>
      </c>
      <c r="J1035" s="4">
        <f>CHOOSE( CONTROL!$C$33, 40.7511, 40.7501) * CHOOSE(CONTROL!$C$16, $D$11, 100%, $F$11)</f>
        <v>40.751100000000001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72685</v>
      </c>
      <c r="B1036" s="8">
        <f>CHOOSE( CONTROL!$C$33, 41.9225, 41.9214) * CHOOSE(CONTROL!$C$16, $D$11, 100%, $F$11)</f>
        <v>41.922499999999999</v>
      </c>
      <c r="C1036" s="8">
        <f>CHOOSE( CONTROL!$C$33, 41.9275, 41.9265) * CHOOSE(CONTROL!$C$16, $D$11, 100%, $F$11)</f>
        <v>41.927500000000002</v>
      </c>
      <c r="D1036" s="8">
        <f>CHOOSE( CONTROL!$C$33, 41.9194, 41.9183) * CHOOSE( CONTROL!$C$16, $D$11, 100%, $F$11)</f>
        <v>41.919400000000003</v>
      </c>
      <c r="E1036" s="12">
        <f>CHOOSE( CONTROL!$C$33, 41.9218, 41.9208) * CHOOSE( CONTROL!$C$16, $D$11, 100%, $F$11)</f>
        <v>41.921799999999998</v>
      </c>
      <c r="F1036" s="4">
        <f>CHOOSE( CONTROL!$C$33, 42.5826, 42.5815) * CHOOSE(CONTROL!$C$16, $D$11, 100%, $F$11)</f>
        <v>42.582599999999999</v>
      </c>
      <c r="G1036" s="8">
        <f>CHOOSE( CONTROL!$C$33, 41.4505, 41.4494) * CHOOSE( CONTROL!$C$16, $D$11, 100%, $F$11)</f>
        <v>41.450499999999998</v>
      </c>
      <c r="H1036" s="4">
        <f>CHOOSE( CONTROL!$C$33, 42.3306, 42.3295) * CHOOSE(CONTROL!$C$16, $D$11, 100%, $F$11)</f>
        <v>42.330599999999997</v>
      </c>
      <c r="I1036" s="8">
        <f>CHOOSE( CONTROL!$C$33, 40.8875, 40.8864) * CHOOSE(CONTROL!$C$16, $D$11, 100%, $F$11)</f>
        <v>40.887500000000003</v>
      </c>
      <c r="J1036" s="4">
        <f>CHOOSE( CONTROL!$C$33, 40.677, 40.676) * CHOOSE(CONTROL!$C$16, $D$11, 100%, $F$11)</f>
        <v>40.677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72716</v>
      </c>
      <c r="B1037" s="8">
        <f>CHOOSE( CONTROL!$C$33, 43.1587, 43.1577) * CHOOSE(CONTROL!$C$16, $D$11, 100%, $F$11)</f>
        <v>43.158700000000003</v>
      </c>
      <c r="C1037" s="8">
        <f>CHOOSE( CONTROL!$C$33, 43.1638, 43.1627) * CHOOSE(CONTROL!$C$16, $D$11, 100%, $F$11)</f>
        <v>43.163800000000002</v>
      </c>
      <c r="D1037" s="8">
        <f>CHOOSE( CONTROL!$C$33, 43.1665, 43.1654) * CHOOSE( CONTROL!$C$16, $D$11, 100%, $F$11)</f>
        <v>43.166499999999999</v>
      </c>
      <c r="E1037" s="12">
        <f>CHOOSE( CONTROL!$C$33, 43.165, 43.1639) * CHOOSE( CONTROL!$C$16, $D$11, 100%, $F$11)</f>
        <v>43.164999999999999</v>
      </c>
      <c r="F1037" s="4">
        <f>CHOOSE( CONTROL!$C$33, 43.8189, 43.8178) * CHOOSE(CONTROL!$C$16, $D$11, 100%, $F$11)</f>
        <v>43.818899999999999</v>
      </c>
      <c r="G1037" s="8">
        <f>CHOOSE( CONTROL!$C$33, 42.6751, 42.674) * CHOOSE( CONTROL!$C$16, $D$11, 100%, $F$11)</f>
        <v>42.6751</v>
      </c>
      <c r="H1037" s="4">
        <f>CHOOSE( CONTROL!$C$33, 43.5524, 43.5513) * CHOOSE(CONTROL!$C$16, $D$11, 100%, $F$11)</f>
        <v>43.552399999999999</v>
      </c>
      <c r="I1037" s="8">
        <f>CHOOSE( CONTROL!$C$33, 42.0594, 42.0583) * CHOOSE(CONTROL!$C$16, $D$11, 100%, $F$11)</f>
        <v>42.059399999999997</v>
      </c>
      <c r="J1037" s="4">
        <f>CHOOSE( CONTROL!$C$33, 41.8768, 41.8758) * CHOOSE(CONTROL!$C$16, $D$11, 100%, $F$11)</f>
        <v>41.876800000000003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72744</v>
      </c>
      <c r="B1038" s="8">
        <f>CHOOSE( CONTROL!$C$33, 40.3693, 40.3682) * CHOOSE(CONTROL!$C$16, $D$11, 100%, $F$11)</f>
        <v>40.369300000000003</v>
      </c>
      <c r="C1038" s="8">
        <f>CHOOSE( CONTROL!$C$33, 40.3743, 40.3733) * CHOOSE(CONTROL!$C$16, $D$11, 100%, $F$11)</f>
        <v>40.374299999999998</v>
      </c>
      <c r="D1038" s="8">
        <f>CHOOSE( CONTROL!$C$33, 40.3769, 40.3758) * CHOOSE( CONTROL!$C$16, $D$11, 100%, $F$11)</f>
        <v>40.376899999999999</v>
      </c>
      <c r="E1038" s="12">
        <f>CHOOSE( CONTROL!$C$33, 40.3754, 40.3743) * CHOOSE( CONTROL!$C$16, $D$11, 100%, $F$11)</f>
        <v>40.375399999999999</v>
      </c>
      <c r="F1038" s="4">
        <f>CHOOSE( CONTROL!$C$33, 41.0294, 41.0283) * CHOOSE(CONTROL!$C$16, $D$11, 100%, $F$11)</f>
        <v>41.029400000000003</v>
      </c>
      <c r="G1038" s="8">
        <f>CHOOSE( CONTROL!$C$33, 39.9182, 39.9171) * CHOOSE( CONTROL!$C$16, $D$11, 100%, $F$11)</f>
        <v>39.918199999999999</v>
      </c>
      <c r="H1038" s="4">
        <f>CHOOSE( CONTROL!$C$33, 40.7955, 40.7945) * CHOOSE(CONTROL!$C$16, $D$11, 100%, $F$11)</f>
        <v>40.795499999999997</v>
      </c>
      <c r="I1038" s="8">
        <f>CHOOSE( CONTROL!$C$33, 39.3505, 39.3495) * CHOOSE(CONTROL!$C$16, $D$11, 100%, $F$11)</f>
        <v>39.350499999999997</v>
      </c>
      <c r="J1038" s="4">
        <f>CHOOSE( CONTROL!$C$33, 39.1696, 39.1686) * CHOOSE(CONTROL!$C$16, $D$11, 100%, $F$11)</f>
        <v>39.169600000000003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72775</v>
      </c>
      <c r="B1039" s="8">
        <f>CHOOSE( CONTROL!$C$33, 39.5101, 39.509) * CHOOSE(CONTROL!$C$16, $D$11, 100%, $F$11)</f>
        <v>39.510100000000001</v>
      </c>
      <c r="C1039" s="8">
        <f>CHOOSE( CONTROL!$C$33, 39.5152, 39.5141) * CHOOSE(CONTROL!$C$16, $D$11, 100%, $F$11)</f>
        <v>39.5152</v>
      </c>
      <c r="D1039" s="8">
        <f>CHOOSE( CONTROL!$C$33, 39.5171, 39.516) * CHOOSE( CONTROL!$C$16, $D$11, 100%, $F$11)</f>
        <v>39.517099999999999</v>
      </c>
      <c r="E1039" s="12">
        <f>CHOOSE( CONTROL!$C$33, 39.5159, 39.5148) * CHOOSE( CONTROL!$C$16, $D$11, 100%, $F$11)</f>
        <v>39.515900000000002</v>
      </c>
      <c r="F1039" s="4">
        <f>CHOOSE( CONTROL!$C$33, 40.1702, 40.1692) * CHOOSE(CONTROL!$C$16, $D$11, 100%, $F$11)</f>
        <v>40.170200000000001</v>
      </c>
      <c r="G1039" s="8">
        <f>CHOOSE( CONTROL!$C$33, 39.0686, 39.0676) * CHOOSE( CONTROL!$C$16, $D$11, 100%, $F$11)</f>
        <v>39.068600000000004</v>
      </c>
      <c r="H1039" s="4">
        <f>CHOOSE( CONTROL!$C$33, 39.9465, 39.9454) * CHOOSE(CONTROL!$C$16, $D$11, 100%, $F$11)</f>
        <v>39.9465</v>
      </c>
      <c r="I1039" s="8">
        <f>CHOOSE( CONTROL!$C$33, 38.5142, 38.5131) * CHOOSE(CONTROL!$C$16, $D$11, 100%, $F$11)</f>
        <v>38.514200000000002</v>
      </c>
      <c r="J1039" s="4">
        <f>CHOOSE( CONTROL!$C$33, 38.3358, 38.3348) * CHOOSE(CONTROL!$C$16, $D$11, 100%, $F$11)</f>
        <v>38.335799999999999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72805</v>
      </c>
      <c r="B1040" s="8">
        <f>CHOOSE( CONTROL!$C$33, 40.1112, 40.1101) * CHOOSE(CONTROL!$C$16, $D$11, 100%, $F$11)</f>
        <v>40.111199999999997</v>
      </c>
      <c r="C1040" s="8">
        <f>CHOOSE( CONTROL!$C$33, 40.1157, 40.1147) * CHOOSE(CONTROL!$C$16, $D$11, 100%, $F$11)</f>
        <v>40.115699999999997</v>
      </c>
      <c r="D1040" s="8">
        <f>CHOOSE( CONTROL!$C$33, 40.1401, 40.139) * CHOOSE( CONTROL!$C$16, $D$11, 100%, $F$11)</f>
        <v>40.140099999999997</v>
      </c>
      <c r="E1040" s="12">
        <f>CHOOSE( CONTROL!$C$33, 40.1315, 40.1304) * CHOOSE( CONTROL!$C$16, $D$11, 100%, $F$11)</f>
        <v>40.131500000000003</v>
      </c>
      <c r="F1040" s="4">
        <f>CHOOSE( CONTROL!$C$33, 40.8401, 40.8391) * CHOOSE(CONTROL!$C$16, $D$11, 100%, $F$11)</f>
        <v>40.8401</v>
      </c>
      <c r="G1040" s="8">
        <f>CHOOSE( CONTROL!$C$33, 39.6717, 39.6706) * CHOOSE( CONTROL!$C$16, $D$11, 100%, $F$11)</f>
        <v>39.671700000000001</v>
      </c>
      <c r="H1040" s="4">
        <f>CHOOSE( CONTROL!$C$33, 40.6085, 40.6074) * CHOOSE(CONTROL!$C$16, $D$11, 100%, $F$11)</f>
        <v>40.608499999999999</v>
      </c>
      <c r="I1040" s="8">
        <f>CHOOSE( CONTROL!$C$33, 39.0624, 39.0613) * CHOOSE(CONTROL!$C$16, $D$11, 100%, $F$11)</f>
        <v>39.062399999999997</v>
      </c>
      <c r="J1040" s="4">
        <f>CHOOSE( CONTROL!$C$33, 38.9185, 38.9174) * CHOOSE(CONTROL!$C$16, $D$11, 100%, $F$11)</f>
        <v>38.918500000000002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1.2509999999999999</v>
      </c>
      <c r="Q1040" s="9">
        <v>19.053000000000001</v>
      </c>
      <c r="R1040" s="9"/>
      <c r="S1040" s="11"/>
    </row>
    <row r="1041" spans="1:19" ht="15.75">
      <c r="A1041" s="13">
        <v>72836</v>
      </c>
      <c r="B1041" s="8">
        <f>CHOOSE( CONTROL!$C$33, 41.1817, 41.18) * CHOOSE(CONTROL!$C$16, $D$11, 100%, $F$11)</f>
        <v>41.181699999999999</v>
      </c>
      <c r="C1041" s="8">
        <f>CHOOSE( CONTROL!$C$33, 41.1896, 41.188) * CHOOSE(CONTROL!$C$16, $D$11, 100%, $F$11)</f>
        <v>41.189599999999999</v>
      </c>
      <c r="D1041" s="8">
        <f>CHOOSE( CONTROL!$C$33, 41.2079, 41.2063) * CHOOSE( CONTROL!$C$16, $D$11, 100%, $F$11)</f>
        <v>41.207900000000002</v>
      </c>
      <c r="E1041" s="12">
        <f>CHOOSE( CONTROL!$C$33, 41.2001, 41.1984) * CHOOSE( CONTROL!$C$16, $D$11, 100%, $F$11)</f>
        <v>41.200099999999999</v>
      </c>
      <c r="F1041" s="4">
        <f>CHOOSE( CONTROL!$C$33, 41.9092, 41.9076) * CHOOSE(CONTROL!$C$16, $D$11, 100%, $F$11)</f>
        <v>41.909199999999998</v>
      </c>
      <c r="G1041" s="8">
        <f>CHOOSE( CONTROL!$C$33, 40.7281, 40.7265) * CHOOSE( CONTROL!$C$16, $D$11, 100%, $F$11)</f>
        <v>40.728099999999998</v>
      </c>
      <c r="H1041" s="4">
        <f>CHOOSE( CONTROL!$C$33, 41.6651, 41.6634) * CHOOSE(CONTROL!$C$16, $D$11, 100%, $F$11)</f>
        <v>41.665100000000002</v>
      </c>
      <c r="I1041" s="8">
        <f>CHOOSE( CONTROL!$C$33, 40.0998, 40.0982) * CHOOSE(CONTROL!$C$16, $D$11, 100%, $F$11)</f>
        <v>40.099800000000002</v>
      </c>
      <c r="J1041" s="4">
        <f>CHOOSE( CONTROL!$C$33, 39.956, 39.9544) * CHOOSE(CONTROL!$C$16, $D$11, 100%, $F$11)</f>
        <v>39.956000000000003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1.2927</v>
      </c>
      <c r="Q1041" s="9">
        <v>19.688099999999999</v>
      </c>
      <c r="R1041" s="9"/>
      <c r="S1041" s="11"/>
    </row>
    <row r="1042" spans="1:19" ht="15.75">
      <c r="A1042" s="13">
        <v>72866</v>
      </c>
      <c r="B1042" s="8">
        <f>CHOOSE( CONTROL!$C$33, 40.5198, 40.5181) * CHOOSE(CONTROL!$C$16, $D$11, 100%, $F$11)</f>
        <v>40.519799999999996</v>
      </c>
      <c r="C1042" s="8">
        <f>CHOOSE( CONTROL!$C$33, 40.5277, 40.5261) * CHOOSE(CONTROL!$C$16, $D$11, 100%, $F$11)</f>
        <v>40.527700000000003</v>
      </c>
      <c r="D1042" s="8">
        <f>CHOOSE( CONTROL!$C$33, 40.5463, 40.5446) * CHOOSE( CONTROL!$C$16, $D$11, 100%, $F$11)</f>
        <v>40.546300000000002</v>
      </c>
      <c r="E1042" s="12">
        <f>CHOOSE( CONTROL!$C$33, 40.5384, 40.5367) * CHOOSE( CONTROL!$C$16, $D$11, 100%, $F$11)</f>
        <v>40.538400000000003</v>
      </c>
      <c r="F1042" s="4">
        <f>CHOOSE( CONTROL!$C$33, 41.2473, 41.2457) * CHOOSE(CONTROL!$C$16, $D$11, 100%, $F$11)</f>
        <v>41.247300000000003</v>
      </c>
      <c r="G1042" s="8">
        <f>CHOOSE( CONTROL!$C$33, 40.0742, 40.0725) * CHOOSE( CONTROL!$C$16, $D$11, 100%, $F$11)</f>
        <v>40.074199999999998</v>
      </c>
      <c r="H1042" s="4">
        <f>CHOOSE( CONTROL!$C$33, 41.0109, 41.0093) * CHOOSE(CONTROL!$C$16, $D$11, 100%, $F$11)</f>
        <v>41.010899999999999</v>
      </c>
      <c r="I1042" s="8">
        <f>CHOOSE( CONTROL!$C$33, 39.458, 39.4564) * CHOOSE(CONTROL!$C$16, $D$11, 100%, $F$11)</f>
        <v>39.457999999999998</v>
      </c>
      <c r="J1042" s="4">
        <f>CHOOSE( CONTROL!$C$33, 39.3136, 39.312) * CHOOSE(CONTROL!$C$16, $D$11, 100%, $F$11)</f>
        <v>39.313600000000001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1.2509999999999999</v>
      </c>
      <c r="Q1042" s="9">
        <v>19.053000000000001</v>
      </c>
      <c r="R1042" s="9"/>
      <c r="S1042" s="11"/>
    </row>
    <row r="1043" spans="1:19" ht="15.75">
      <c r="A1043" s="13">
        <v>72897</v>
      </c>
      <c r="B1043" s="8">
        <f>CHOOSE( CONTROL!$C$33, 42.2628, 42.2611) * CHOOSE(CONTROL!$C$16, $D$11, 100%, $F$11)</f>
        <v>42.262799999999999</v>
      </c>
      <c r="C1043" s="8">
        <f>CHOOSE( CONTROL!$C$33, 42.2708, 42.2691) * CHOOSE(CONTROL!$C$16, $D$11, 100%, $F$11)</f>
        <v>42.270800000000001</v>
      </c>
      <c r="D1043" s="8">
        <f>CHOOSE( CONTROL!$C$33, 42.2896, 42.2879) * CHOOSE( CONTROL!$C$16, $D$11, 100%, $F$11)</f>
        <v>42.2896</v>
      </c>
      <c r="E1043" s="12">
        <f>CHOOSE( CONTROL!$C$33, 42.2816, 42.2799) * CHOOSE( CONTROL!$C$16, $D$11, 100%, $F$11)</f>
        <v>42.281599999999997</v>
      </c>
      <c r="F1043" s="4">
        <f>CHOOSE( CONTROL!$C$33, 42.9903, 42.9887) * CHOOSE(CONTROL!$C$16, $D$11, 100%, $F$11)</f>
        <v>42.990299999999998</v>
      </c>
      <c r="G1043" s="8">
        <f>CHOOSE( CONTROL!$C$33, 41.797, 41.7953) * CHOOSE( CONTROL!$C$16, $D$11, 100%, $F$11)</f>
        <v>41.796999999999997</v>
      </c>
      <c r="H1043" s="4">
        <f>CHOOSE( CONTROL!$C$33, 42.7335, 42.7319) * CHOOSE(CONTROL!$C$16, $D$11, 100%, $F$11)</f>
        <v>42.733499999999999</v>
      </c>
      <c r="I1043" s="8">
        <f>CHOOSE( CONTROL!$C$33, 41.1513, 41.1497) * CHOOSE(CONTROL!$C$16, $D$11, 100%, $F$11)</f>
        <v>41.151299999999999</v>
      </c>
      <c r="J1043" s="4">
        <f>CHOOSE( CONTROL!$C$33, 41.0052, 41.0036) * CHOOSE(CONTROL!$C$16, $D$11, 100%, $F$11)</f>
        <v>41.005200000000002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1.2927</v>
      </c>
      <c r="Q1043" s="9">
        <v>19.688099999999999</v>
      </c>
      <c r="R1043" s="9"/>
      <c r="S1043" s="11"/>
    </row>
    <row r="1044" spans="1:19" ht="15.75">
      <c r="A1044" s="13">
        <v>72928</v>
      </c>
      <c r="B1044" s="8">
        <f>CHOOSE( CONTROL!$C$33, 39.0014, 38.9997) * CHOOSE(CONTROL!$C$16, $D$11, 100%, $F$11)</f>
        <v>39.001399999999997</v>
      </c>
      <c r="C1044" s="8">
        <f>CHOOSE( CONTROL!$C$33, 39.0094, 39.0077) * CHOOSE(CONTROL!$C$16, $D$11, 100%, $F$11)</f>
        <v>39.009399999999999</v>
      </c>
      <c r="D1044" s="8">
        <f>CHOOSE( CONTROL!$C$33, 39.0282, 39.0266) * CHOOSE( CONTROL!$C$16, $D$11, 100%, $F$11)</f>
        <v>39.028199999999998</v>
      </c>
      <c r="E1044" s="12">
        <f>CHOOSE( CONTROL!$C$33, 39.0202, 39.0185) * CHOOSE( CONTROL!$C$16, $D$11, 100%, $F$11)</f>
        <v>39.020200000000003</v>
      </c>
      <c r="F1044" s="4">
        <f>CHOOSE( CONTROL!$C$33, 39.729, 39.7273) * CHOOSE(CONTROL!$C$16, $D$11, 100%, $F$11)</f>
        <v>39.728999999999999</v>
      </c>
      <c r="G1044" s="8">
        <f>CHOOSE( CONTROL!$C$33, 38.5738, 38.5722) * CHOOSE( CONTROL!$C$16, $D$11, 100%, $F$11)</f>
        <v>38.573799999999999</v>
      </c>
      <c r="H1044" s="4">
        <f>CHOOSE( CONTROL!$C$33, 39.5103, 39.5087) * CHOOSE(CONTROL!$C$16, $D$11, 100%, $F$11)</f>
        <v>39.510300000000001</v>
      </c>
      <c r="I1044" s="8">
        <f>CHOOSE( CONTROL!$C$33, 37.9848, 37.9832) * CHOOSE(CONTROL!$C$16, $D$11, 100%, $F$11)</f>
        <v>37.9848</v>
      </c>
      <c r="J1044" s="4">
        <f>CHOOSE( CONTROL!$C$33, 37.84, 37.8384) * CHOOSE(CONTROL!$C$16, $D$11, 100%, $F$11)</f>
        <v>37.840000000000003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1.2927</v>
      </c>
      <c r="Q1044" s="9">
        <v>19.688099999999999</v>
      </c>
      <c r="R1044" s="9"/>
      <c r="S1044" s="11"/>
    </row>
    <row r="1045" spans="1:19" ht="15.75">
      <c r="A1045" s="13">
        <v>72958</v>
      </c>
      <c r="B1045" s="8">
        <f>CHOOSE( CONTROL!$C$33, 38.1847, 38.1831) * CHOOSE(CONTROL!$C$16, $D$11, 100%, $F$11)</f>
        <v>38.184699999999999</v>
      </c>
      <c r="C1045" s="8">
        <f>CHOOSE( CONTROL!$C$33, 38.1927, 38.191) * CHOOSE(CONTROL!$C$16, $D$11, 100%, $F$11)</f>
        <v>38.192700000000002</v>
      </c>
      <c r="D1045" s="8">
        <f>CHOOSE( CONTROL!$C$33, 38.2115, 38.2098) * CHOOSE( CONTROL!$C$16, $D$11, 100%, $F$11)</f>
        <v>38.211500000000001</v>
      </c>
      <c r="E1045" s="12">
        <f>CHOOSE( CONTROL!$C$33, 38.2035, 38.2018) * CHOOSE( CONTROL!$C$16, $D$11, 100%, $F$11)</f>
        <v>38.203499999999998</v>
      </c>
      <c r="F1045" s="4">
        <f>CHOOSE( CONTROL!$C$33, 38.9123, 38.9106) * CHOOSE(CONTROL!$C$16, $D$11, 100%, $F$11)</f>
        <v>38.912300000000002</v>
      </c>
      <c r="G1045" s="8">
        <f>CHOOSE( CONTROL!$C$33, 37.7666, 37.765) * CHOOSE( CONTROL!$C$16, $D$11, 100%, $F$11)</f>
        <v>37.766599999999997</v>
      </c>
      <c r="H1045" s="4">
        <f>CHOOSE( CONTROL!$C$33, 38.7032, 38.7016) * CHOOSE(CONTROL!$C$16, $D$11, 100%, $F$11)</f>
        <v>38.703200000000002</v>
      </c>
      <c r="I1045" s="8">
        <f>CHOOSE( CONTROL!$C$33, 37.1914, 37.1898) * CHOOSE(CONTROL!$C$16, $D$11, 100%, $F$11)</f>
        <v>37.191400000000002</v>
      </c>
      <c r="J1045" s="4">
        <f>CHOOSE( CONTROL!$C$33, 37.0474, 37.0458) * CHOOSE(CONTROL!$C$16, $D$11, 100%, $F$11)</f>
        <v>37.047400000000003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1.2509999999999999</v>
      </c>
      <c r="Q1045" s="9">
        <v>19.053000000000001</v>
      </c>
      <c r="R1045" s="9"/>
      <c r="S1045" s="11"/>
    </row>
    <row r="1046" spans="1:19" ht="15.75">
      <c r="A1046" s="13">
        <v>72989</v>
      </c>
      <c r="B1046" s="8">
        <f>CHOOSE( CONTROL!$C$33, 39.8781, 39.8771) * CHOOSE(CONTROL!$C$16, $D$11, 100%, $F$11)</f>
        <v>39.878100000000003</v>
      </c>
      <c r="C1046" s="8">
        <f>CHOOSE( CONTROL!$C$33, 39.8835, 39.8824) * CHOOSE(CONTROL!$C$16, $D$11, 100%, $F$11)</f>
        <v>39.883499999999998</v>
      </c>
      <c r="D1046" s="8">
        <f>CHOOSE( CONTROL!$C$33, 39.9079, 39.9068) * CHOOSE( CONTROL!$C$16, $D$11, 100%, $F$11)</f>
        <v>39.907899999999998</v>
      </c>
      <c r="E1046" s="12">
        <f>CHOOSE( CONTROL!$C$33, 39.8993, 39.8982) * CHOOSE( CONTROL!$C$16, $D$11, 100%, $F$11)</f>
        <v>39.899299999999997</v>
      </c>
      <c r="F1046" s="4">
        <f>CHOOSE( CONTROL!$C$33, 40.6074, 40.6063) * CHOOSE(CONTROL!$C$16, $D$11, 100%, $F$11)</f>
        <v>40.607399999999998</v>
      </c>
      <c r="G1046" s="8">
        <f>CHOOSE( CONTROL!$C$33, 39.4421, 39.441) * CHOOSE( CONTROL!$C$16, $D$11, 100%, $F$11)</f>
        <v>39.442100000000003</v>
      </c>
      <c r="H1046" s="4">
        <f>CHOOSE( CONTROL!$C$33, 40.3785, 40.3774) * CHOOSE(CONTROL!$C$16, $D$11, 100%, $F$11)</f>
        <v>40.378500000000003</v>
      </c>
      <c r="I1046" s="8">
        <f>CHOOSE( CONTROL!$C$33, 38.8383, 38.8372) * CHOOSE(CONTROL!$C$16, $D$11, 100%, $F$11)</f>
        <v>38.838299999999997</v>
      </c>
      <c r="J1046" s="4">
        <f>CHOOSE( CONTROL!$C$33, 38.6926, 38.6915) * CHOOSE(CONTROL!$C$16, $D$11, 100%, $F$11)</f>
        <v>38.692599999999999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1.2927</v>
      </c>
      <c r="Q1046" s="9">
        <v>19.688099999999999</v>
      </c>
      <c r="R1046" s="9"/>
      <c r="S1046" s="11"/>
    </row>
    <row r="1047" spans="1:19" ht="15.75">
      <c r="A1047" s="13">
        <v>73019</v>
      </c>
      <c r="B1047" s="8">
        <f>CHOOSE( CONTROL!$C$33, 43.0077, 43.0066) * CHOOSE(CONTROL!$C$16, $D$11, 100%, $F$11)</f>
        <v>43.0077</v>
      </c>
      <c r="C1047" s="8">
        <f>CHOOSE( CONTROL!$C$33, 43.0128, 43.0117) * CHOOSE(CONTROL!$C$16, $D$11, 100%, $F$11)</f>
        <v>43.012799999999999</v>
      </c>
      <c r="D1047" s="8">
        <f>CHOOSE( CONTROL!$C$33, 43.0032, 43.0021) * CHOOSE( CONTROL!$C$16, $D$11, 100%, $F$11)</f>
        <v>43.0032</v>
      </c>
      <c r="E1047" s="12">
        <f>CHOOSE( CONTROL!$C$33, 43.0062, 43.0051) * CHOOSE( CONTROL!$C$16, $D$11, 100%, $F$11)</f>
        <v>43.0062</v>
      </c>
      <c r="F1047" s="4">
        <f>CHOOSE( CONTROL!$C$33, 43.6678, 43.6668) * CHOOSE(CONTROL!$C$16, $D$11, 100%, $F$11)</f>
        <v>43.6678</v>
      </c>
      <c r="G1047" s="8">
        <f>CHOOSE( CONTROL!$C$33, 42.522, 42.5209) * CHOOSE( CONTROL!$C$16, $D$11, 100%, $F$11)</f>
        <v>42.521999999999998</v>
      </c>
      <c r="H1047" s="4">
        <f>CHOOSE( CONTROL!$C$33, 43.4031, 43.402) * CHOOSE(CONTROL!$C$16, $D$11, 100%, $F$11)</f>
        <v>43.403100000000002</v>
      </c>
      <c r="I1047" s="8">
        <f>CHOOSE( CONTROL!$C$33, 41.9368, 41.9357) * CHOOSE(CONTROL!$C$16, $D$11, 100%, $F$11)</f>
        <v>41.936799999999998</v>
      </c>
      <c r="J1047" s="4">
        <f>CHOOSE( CONTROL!$C$33, 41.7302, 41.7292) * CHOOSE(CONTROL!$C$16, $D$11, 100%, $F$11)</f>
        <v>41.730200000000004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73050</v>
      </c>
      <c r="B1048" s="8">
        <f>CHOOSE( CONTROL!$C$33, 42.9295, 42.9284) * CHOOSE(CONTROL!$C$16, $D$11, 100%, $F$11)</f>
        <v>42.929499999999997</v>
      </c>
      <c r="C1048" s="8">
        <f>CHOOSE( CONTROL!$C$33, 42.9346, 42.9335) * CHOOSE(CONTROL!$C$16, $D$11, 100%, $F$11)</f>
        <v>42.934600000000003</v>
      </c>
      <c r="D1048" s="8">
        <f>CHOOSE( CONTROL!$C$33, 42.9264, 42.9253) * CHOOSE( CONTROL!$C$16, $D$11, 100%, $F$11)</f>
        <v>42.926400000000001</v>
      </c>
      <c r="E1048" s="12">
        <f>CHOOSE( CONTROL!$C$33, 42.9289, 42.9278) * CHOOSE( CONTROL!$C$16, $D$11, 100%, $F$11)</f>
        <v>42.928899999999999</v>
      </c>
      <c r="F1048" s="4">
        <f>CHOOSE( CONTROL!$C$33, 43.5896, 43.5886) * CHOOSE(CONTROL!$C$16, $D$11, 100%, $F$11)</f>
        <v>43.589599999999997</v>
      </c>
      <c r="G1048" s="8">
        <f>CHOOSE( CONTROL!$C$33, 42.4457, 42.4446) * CHOOSE( CONTROL!$C$16, $D$11, 100%, $F$11)</f>
        <v>42.445700000000002</v>
      </c>
      <c r="H1048" s="4">
        <f>CHOOSE( CONTROL!$C$33, 43.3258, 43.3247) * CHOOSE(CONTROL!$C$16, $D$11, 100%, $F$11)</f>
        <v>43.325800000000001</v>
      </c>
      <c r="I1048" s="8">
        <f>CHOOSE( CONTROL!$C$33, 41.8653, 41.8642) * CHOOSE(CONTROL!$C$16, $D$11, 100%, $F$11)</f>
        <v>41.865299999999998</v>
      </c>
      <c r="J1048" s="4">
        <f>CHOOSE( CONTROL!$C$33, 41.6543, 41.6533) * CHOOSE(CONTROL!$C$16, $D$11, 100%, $F$11)</f>
        <v>41.654299999999999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 ht="15.75">
      <c r="A1049" s="13">
        <v>73081</v>
      </c>
      <c r="B1049" s="8">
        <f>CHOOSE( CONTROL!$C$33, 44.1955, 44.1944) * CHOOSE(CONTROL!$C$16, $D$11, 100%, $F$11)</f>
        <v>44.195500000000003</v>
      </c>
      <c r="C1049" s="8">
        <f>CHOOSE( CONTROL!$C$33, 44.2006, 44.1995) * CHOOSE(CONTROL!$C$16, $D$11, 100%, $F$11)</f>
        <v>44.200600000000001</v>
      </c>
      <c r="D1049" s="8">
        <f>CHOOSE( CONTROL!$C$33, 44.2032, 44.2021) * CHOOSE( CONTROL!$C$16, $D$11, 100%, $F$11)</f>
        <v>44.203200000000002</v>
      </c>
      <c r="E1049" s="12">
        <f>CHOOSE( CONTROL!$C$33, 44.2017, 44.2006) * CHOOSE( CONTROL!$C$16, $D$11, 100%, $F$11)</f>
        <v>44.201700000000002</v>
      </c>
      <c r="F1049" s="4">
        <f>CHOOSE( CONTROL!$C$33, 44.8556, 44.8545) * CHOOSE(CONTROL!$C$16, $D$11, 100%, $F$11)</f>
        <v>44.855600000000003</v>
      </c>
      <c r="G1049" s="8">
        <f>CHOOSE( CONTROL!$C$33, 43.6997, 43.6986) * CHOOSE( CONTROL!$C$16, $D$11, 100%, $F$11)</f>
        <v>43.6997</v>
      </c>
      <c r="H1049" s="4">
        <f>CHOOSE( CONTROL!$C$33, 44.577, 44.5759) * CHOOSE(CONTROL!$C$16, $D$11, 100%, $F$11)</f>
        <v>44.576999999999998</v>
      </c>
      <c r="I1049" s="8">
        <f>CHOOSE( CONTROL!$C$33, 43.066, 43.065) * CHOOSE(CONTROL!$C$16, $D$11, 100%, $F$11)</f>
        <v>43.066000000000003</v>
      </c>
      <c r="J1049" s="4">
        <f>CHOOSE( CONTROL!$C$33, 42.883, 42.8819) * CHOOSE(CONTROL!$C$16, $D$11, 100%, $F$11)</f>
        <v>42.883000000000003</v>
      </c>
      <c r="K1049" s="4"/>
      <c r="L1049" s="9">
        <v>29.306000000000001</v>
      </c>
      <c r="M1049" s="9">
        <v>12.063700000000001</v>
      </c>
      <c r="N1049" s="9">
        <v>4.9444999999999997</v>
      </c>
      <c r="O1049" s="9">
        <v>0.37409999999999999</v>
      </c>
      <c r="P1049" s="9">
        <v>1.2927</v>
      </c>
      <c r="Q1049" s="9">
        <v>19.688099999999999</v>
      </c>
      <c r="R1049" s="9"/>
      <c r="S1049" s="11"/>
    </row>
    <row r="1050" spans="1:19" ht="15.75">
      <c r="A1050" s="13">
        <v>73109</v>
      </c>
      <c r="B1050" s="8">
        <f>CHOOSE( CONTROL!$C$33, 41.339, 41.3379) * CHOOSE(CONTROL!$C$16, $D$11, 100%, $F$11)</f>
        <v>41.338999999999999</v>
      </c>
      <c r="C1050" s="8">
        <f>CHOOSE( CONTROL!$C$33, 41.3441, 41.343) * CHOOSE(CONTROL!$C$16, $D$11, 100%, $F$11)</f>
        <v>41.344099999999997</v>
      </c>
      <c r="D1050" s="8">
        <f>CHOOSE( CONTROL!$C$33, 41.3466, 41.3455) * CHOOSE( CONTROL!$C$16, $D$11, 100%, $F$11)</f>
        <v>41.346600000000002</v>
      </c>
      <c r="E1050" s="12">
        <f>CHOOSE( CONTROL!$C$33, 41.3451, 41.344) * CHOOSE( CONTROL!$C$16, $D$11, 100%, $F$11)</f>
        <v>41.345100000000002</v>
      </c>
      <c r="F1050" s="4">
        <f>CHOOSE( CONTROL!$C$33, 41.9991, 41.998) * CHOOSE(CONTROL!$C$16, $D$11, 100%, $F$11)</f>
        <v>41.999099999999999</v>
      </c>
      <c r="G1050" s="8">
        <f>CHOOSE( CONTROL!$C$33, 40.8766, 40.8755) * CHOOSE( CONTROL!$C$16, $D$11, 100%, $F$11)</f>
        <v>40.876600000000003</v>
      </c>
      <c r="H1050" s="4">
        <f>CHOOSE( CONTROL!$C$33, 41.7539, 41.7528) * CHOOSE(CONTROL!$C$16, $D$11, 100%, $F$11)</f>
        <v>41.753900000000002</v>
      </c>
      <c r="I1050" s="8">
        <f>CHOOSE( CONTROL!$C$33, 40.2921, 40.2911) * CHOOSE(CONTROL!$C$16, $D$11, 100%, $F$11)</f>
        <v>40.292099999999998</v>
      </c>
      <c r="J1050" s="4">
        <f>CHOOSE( CONTROL!$C$33, 40.1107, 40.1097) * CHOOSE(CONTROL!$C$16, $D$11, 100%, $F$11)</f>
        <v>40.110700000000001</v>
      </c>
      <c r="K1050" s="4"/>
      <c r="L1050" s="9">
        <v>26.469899999999999</v>
      </c>
      <c r="M1050" s="9">
        <v>10.8962</v>
      </c>
      <c r="N1050" s="9">
        <v>4.4660000000000002</v>
      </c>
      <c r="O1050" s="9">
        <v>0.33789999999999998</v>
      </c>
      <c r="P1050" s="9">
        <v>1.1676</v>
      </c>
      <c r="Q1050" s="9">
        <v>17.782800000000002</v>
      </c>
      <c r="R1050" s="9"/>
      <c r="S1050" s="11"/>
    </row>
    <row r="1051" spans="1:19" ht="15.75">
      <c r="A1051" s="13">
        <v>73140</v>
      </c>
      <c r="B1051" s="8">
        <f>CHOOSE( CONTROL!$C$33, 40.4592, 40.4581) * CHOOSE(CONTROL!$C$16, $D$11, 100%, $F$11)</f>
        <v>40.459200000000003</v>
      </c>
      <c r="C1051" s="8">
        <f>CHOOSE( CONTROL!$C$33, 40.4643, 40.4632) * CHOOSE(CONTROL!$C$16, $D$11, 100%, $F$11)</f>
        <v>40.464300000000001</v>
      </c>
      <c r="D1051" s="8">
        <f>CHOOSE( CONTROL!$C$33, 40.4661, 40.4651) * CHOOSE( CONTROL!$C$16, $D$11, 100%, $F$11)</f>
        <v>40.466099999999997</v>
      </c>
      <c r="E1051" s="12">
        <f>CHOOSE( CONTROL!$C$33, 40.4649, 40.4639) * CHOOSE( CONTROL!$C$16, $D$11, 100%, $F$11)</f>
        <v>40.4649</v>
      </c>
      <c r="F1051" s="4">
        <f>CHOOSE( CONTROL!$C$33, 41.1193, 41.1182) * CHOOSE(CONTROL!$C$16, $D$11, 100%, $F$11)</f>
        <v>41.119300000000003</v>
      </c>
      <c r="G1051" s="8">
        <f>CHOOSE( CONTROL!$C$33, 40.0066, 40.0055) * CHOOSE( CONTROL!$C$16, $D$11, 100%, $F$11)</f>
        <v>40.006599999999999</v>
      </c>
      <c r="H1051" s="4">
        <f>CHOOSE( CONTROL!$C$33, 40.8844, 40.8834) * CHOOSE(CONTROL!$C$16, $D$11, 100%, $F$11)</f>
        <v>40.884399999999999</v>
      </c>
      <c r="I1051" s="8">
        <f>CHOOSE( CONTROL!$C$33, 39.4357, 39.4347) * CHOOSE(CONTROL!$C$16, $D$11, 100%, $F$11)</f>
        <v>39.435699999999997</v>
      </c>
      <c r="J1051" s="4">
        <f>CHOOSE( CONTROL!$C$33, 39.2569, 39.2558) * CHOOSE(CONTROL!$C$16, $D$11, 100%, $F$11)</f>
        <v>39.256900000000002</v>
      </c>
      <c r="K1051" s="4"/>
      <c r="L1051" s="9">
        <v>29.306000000000001</v>
      </c>
      <c r="M1051" s="9">
        <v>12.063700000000001</v>
      </c>
      <c r="N1051" s="9">
        <v>4.9444999999999997</v>
      </c>
      <c r="O1051" s="9">
        <v>0.37409999999999999</v>
      </c>
      <c r="P1051" s="9">
        <v>1.2927</v>
      </c>
      <c r="Q1051" s="9">
        <v>19.688099999999999</v>
      </c>
      <c r="R1051" s="9"/>
      <c r="S1051" s="11"/>
    </row>
    <row r="1052" spans="1:19" ht="15.75">
      <c r="A1052" s="13">
        <v>73170</v>
      </c>
      <c r="B1052" s="8">
        <f>CHOOSE( CONTROL!$C$33, 41.0747, 41.0737) * CHOOSE(CONTROL!$C$16, $D$11, 100%, $F$11)</f>
        <v>41.0747</v>
      </c>
      <c r="C1052" s="8">
        <f>CHOOSE( CONTROL!$C$33, 41.0792, 41.0782) * CHOOSE(CONTROL!$C$16, $D$11, 100%, $F$11)</f>
        <v>41.0792</v>
      </c>
      <c r="D1052" s="8">
        <f>CHOOSE( CONTROL!$C$33, 41.1036, 41.1025) * CHOOSE( CONTROL!$C$16, $D$11, 100%, $F$11)</f>
        <v>41.1036</v>
      </c>
      <c r="E1052" s="12">
        <f>CHOOSE( CONTROL!$C$33, 41.095, 41.094) * CHOOSE( CONTROL!$C$16, $D$11, 100%, $F$11)</f>
        <v>41.094999999999999</v>
      </c>
      <c r="F1052" s="4">
        <f>CHOOSE( CONTROL!$C$33, 41.8037, 41.8026) * CHOOSE(CONTROL!$C$16, $D$11, 100%, $F$11)</f>
        <v>41.803699999999999</v>
      </c>
      <c r="G1052" s="8">
        <f>CHOOSE( CONTROL!$C$33, 40.6239, 40.6228) * CHOOSE( CONTROL!$C$16, $D$11, 100%, $F$11)</f>
        <v>40.623899999999999</v>
      </c>
      <c r="H1052" s="4">
        <f>CHOOSE( CONTROL!$C$33, 41.5607, 41.5597) * CHOOSE(CONTROL!$C$16, $D$11, 100%, $F$11)</f>
        <v>41.560699999999997</v>
      </c>
      <c r="I1052" s="8">
        <f>CHOOSE( CONTROL!$C$33, 39.9979, 39.9969) * CHOOSE(CONTROL!$C$16, $D$11, 100%, $F$11)</f>
        <v>39.997900000000001</v>
      </c>
      <c r="J1052" s="4">
        <f>CHOOSE( CONTROL!$C$33, 39.8535, 39.8525) * CHOOSE(CONTROL!$C$16, $D$11, 100%, $F$11)</f>
        <v>39.853499999999997</v>
      </c>
      <c r="K1052" s="4"/>
      <c r="L1052" s="9">
        <v>30.092199999999998</v>
      </c>
      <c r="M1052" s="9">
        <v>11.6745</v>
      </c>
      <c r="N1052" s="9">
        <v>4.7850000000000001</v>
      </c>
      <c r="O1052" s="9">
        <v>0.36199999999999999</v>
      </c>
      <c r="P1052" s="9">
        <v>1.2509999999999999</v>
      </c>
      <c r="Q1052" s="9">
        <v>19.053000000000001</v>
      </c>
      <c r="R1052" s="9"/>
      <c r="S1052" s="11"/>
    </row>
    <row r="1053" spans="1:19" ht="15.75">
      <c r="A1053" s="13">
        <v>73201</v>
      </c>
      <c r="B1053" s="8">
        <f>CHOOSE( CONTROL!$C$33, 42.1709, 42.1692) * CHOOSE(CONTROL!$C$16, $D$11, 100%, $F$11)</f>
        <v>42.170900000000003</v>
      </c>
      <c r="C1053" s="8">
        <f>CHOOSE( CONTROL!$C$33, 42.1788, 42.1772) * CHOOSE(CONTROL!$C$16, $D$11, 100%, $F$11)</f>
        <v>42.178800000000003</v>
      </c>
      <c r="D1053" s="8">
        <f>CHOOSE( CONTROL!$C$33, 42.1971, 42.1955) * CHOOSE( CONTROL!$C$16, $D$11, 100%, $F$11)</f>
        <v>42.197099999999999</v>
      </c>
      <c r="E1053" s="12">
        <f>CHOOSE( CONTROL!$C$33, 42.1893, 42.1876) * CHOOSE( CONTROL!$C$16, $D$11, 100%, $F$11)</f>
        <v>42.189300000000003</v>
      </c>
      <c r="F1053" s="4">
        <f>CHOOSE( CONTROL!$C$33, 42.8984, 42.8967) * CHOOSE(CONTROL!$C$16, $D$11, 100%, $F$11)</f>
        <v>42.898400000000002</v>
      </c>
      <c r="G1053" s="8">
        <f>CHOOSE( CONTROL!$C$33, 41.7057, 41.7041) * CHOOSE( CONTROL!$C$16, $D$11, 100%, $F$11)</f>
        <v>41.7057</v>
      </c>
      <c r="H1053" s="4">
        <f>CHOOSE( CONTROL!$C$33, 42.6427, 42.641) * CHOOSE(CONTROL!$C$16, $D$11, 100%, $F$11)</f>
        <v>42.642699999999998</v>
      </c>
      <c r="I1053" s="8">
        <f>CHOOSE( CONTROL!$C$33, 41.0603, 41.0587) * CHOOSE(CONTROL!$C$16, $D$11, 100%, $F$11)</f>
        <v>41.060299999999998</v>
      </c>
      <c r="J1053" s="4">
        <f>CHOOSE( CONTROL!$C$33, 40.916, 40.9144) * CHOOSE(CONTROL!$C$16, $D$11, 100%, $F$11)</f>
        <v>40.915999999999997</v>
      </c>
      <c r="K1053" s="4"/>
      <c r="L1053" s="9">
        <v>30.7165</v>
      </c>
      <c r="M1053" s="9">
        <v>12.063700000000001</v>
      </c>
      <c r="N1053" s="9">
        <v>4.9444999999999997</v>
      </c>
      <c r="O1053" s="9">
        <v>0.37409999999999999</v>
      </c>
      <c r="P1053" s="9">
        <v>1.2927</v>
      </c>
      <c r="Q1053" s="9">
        <v>19.688099999999999</v>
      </c>
      <c r="R1053" s="9"/>
      <c r="S1053" s="11"/>
    </row>
    <row r="1054" spans="1:19" ht="15.75">
      <c r="A1054" s="13">
        <v>73231</v>
      </c>
      <c r="B1054" s="8">
        <f>CHOOSE( CONTROL!$C$33, 41.493, 41.4914) * CHOOSE(CONTROL!$C$16, $D$11, 100%, $F$11)</f>
        <v>41.493000000000002</v>
      </c>
      <c r="C1054" s="8">
        <f>CHOOSE( CONTROL!$C$33, 41.501, 41.4994) * CHOOSE(CONTROL!$C$16, $D$11, 100%, $F$11)</f>
        <v>41.500999999999998</v>
      </c>
      <c r="D1054" s="8">
        <f>CHOOSE( CONTROL!$C$33, 41.5196, 41.5179) * CHOOSE( CONTROL!$C$16, $D$11, 100%, $F$11)</f>
        <v>41.519599999999997</v>
      </c>
      <c r="E1054" s="12">
        <f>CHOOSE( CONTROL!$C$33, 41.5116, 41.51) * CHOOSE( CONTROL!$C$16, $D$11, 100%, $F$11)</f>
        <v>41.511600000000001</v>
      </c>
      <c r="F1054" s="4">
        <f>CHOOSE( CONTROL!$C$33, 42.2206, 42.2189) * CHOOSE(CONTROL!$C$16, $D$11, 100%, $F$11)</f>
        <v>42.220599999999997</v>
      </c>
      <c r="G1054" s="8">
        <f>CHOOSE( CONTROL!$C$33, 41.036, 41.0344) * CHOOSE( CONTROL!$C$16, $D$11, 100%, $F$11)</f>
        <v>41.036000000000001</v>
      </c>
      <c r="H1054" s="4">
        <f>CHOOSE( CONTROL!$C$33, 41.9728, 41.9712) * CHOOSE(CONTROL!$C$16, $D$11, 100%, $F$11)</f>
        <v>41.972799999999999</v>
      </c>
      <c r="I1054" s="8">
        <f>CHOOSE( CONTROL!$C$33, 40.403, 40.4014) * CHOOSE(CONTROL!$C$16, $D$11, 100%, $F$11)</f>
        <v>40.402999999999999</v>
      </c>
      <c r="J1054" s="4">
        <f>CHOOSE( CONTROL!$C$33, 40.2582, 40.2566) * CHOOSE(CONTROL!$C$16, $D$11, 100%, $F$11)</f>
        <v>40.258200000000002</v>
      </c>
      <c r="K1054" s="4"/>
      <c r="L1054" s="9">
        <v>29.7257</v>
      </c>
      <c r="M1054" s="9">
        <v>11.6745</v>
      </c>
      <c r="N1054" s="9">
        <v>4.7850000000000001</v>
      </c>
      <c r="O1054" s="9">
        <v>0.36199999999999999</v>
      </c>
      <c r="P1054" s="9">
        <v>1.2509999999999999</v>
      </c>
      <c r="Q1054" s="9">
        <v>19.053000000000001</v>
      </c>
      <c r="R1054" s="9"/>
      <c r="S1054" s="11"/>
    </row>
    <row r="1055" spans="1:19" ht="15.75">
      <c r="A1055" s="13">
        <v>73262</v>
      </c>
      <c r="B1055" s="8">
        <f>CHOOSE( CONTROL!$C$33, 43.278, 43.2763) * CHOOSE(CONTROL!$C$16, $D$11, 100%, $F$11)</f>
        <v>43.277999999999999</v>
      </c>
      <c r="C1055" s="8">
        <f>CHOOSE( CONTROL!$C$33, 43.2859, 43.2843) * CHOOSE(CONTROL!$C$16, $D$11, 100%, $F$11)</f>
        <v>43.285899999999998</v>
      </c>
      <c r="D1055" s="8">
        <f>CHOOSE( CONTROL!$C$33, 43.3047, 43.3031) * CHOOSE( CONTROL!$C$16, $D$11, 100%, $F$11)</f>
        <v>43.304699999999997</v>
      </c>
      <c r="E1055" s="12">
        <f>CHOOSE( CONTROL!$C$33, 43.2967, 43.2951) * CHOOSE( CONTROL!$C$16, $D$11, 100%, $F$11)</f>
        <v>43.296700000000001</v>
      </c>
      <c r="F1055" s="4">
        <f>CHOOSE( CONTROL!$C$33, 44.0055, 44.0038) * CHOOSE(CONTROL!$C$16, $D$11, 100%, $F$11)</f>
        <v>44.005499999999998</v>
      </c>
      <c r="G1055" s="8">
        <f>CHOOSE( CONTROL!$C$33, 42.8002, 42.7986) * CHOOSE( CONTROL!$C$16, $D$11, 100%, $F$11)</f>
        <v>42.800199999999997</v>
      </c>
      <c r="H1055" s="4">
        <f>CHOOSE( CONTROL!$C$33, 43.7368, 43.7352) * CHOOSE(CONTROL!$C$16, $D$11, 100%, $F$11)</f>
        <v>43.736800000000002</v>
      </c>
      <c r="I1055" s="8">
        <f>CHOOSE( CONTROL!$C$33, 42.137, 42.1354) * CHOOSE(CONTROL!$C$16, $D$11, 100%, $F$11)</f>
        <v>42.137</v>
      </c>
      <c r="J1055" s="4">
        <f>CHOOSE( CONTROL!$C$33, 41.9904, 41.9888) * CHOOSE(CONTROL!$C$16, $D$11, 100%, $F$11)</f>
        <v>41.990400000000001</v>
      </c>
      <c r="K1055" s="4"/>
      <c r="L1055" s="9">
        <v>30.7165</v>
      </c>
      <c r="M1055" s="9">
        <v>12.063700000000001</v>
      </c>
      <c r="N1055" s="9">
        <v>4.9444999999999997</v>
      </c>
      <c r="O1055" s="9">
        <v>0.37409999999999999</v>
      </c>
      <c r="P1055" s="9">
        <v>1.2927</v>
      </c>
      <c r="Q1055" s="9">
        <v>19.688099999999999</v>
      </c>
      <c r="R1055" s="9"/>
      <c r="S1055" s="11"/>
    </row>
    <row r="1056" spans="1:19" ht="15.75">
      <c r="A1056" s="13">
        <v>73293</v>
      </c>
      <c r="B1056" s="8">
        <f>CHOOSE( CONTROL!$C$33, 39.9382, 39.9365) * CHOOSE(CONTROL!$C$16, $D$11, 100%, $F$11)</f>
        <v>39.938200000000002</v>
      </c>
      <c r="C1056" s="8">
        <f>CHOOSE( CONTROL!$C$33, 39.9462, 39.9445) * CHOOSE(CONTROL!$C$16, $D$11, 100%, $F$11)</f>
        <v>39.946199999999997</v>
      </c>
      <c r="D1056" s="8">
        <f>CHOOSE( CONTROL!$C$33, 39.965, 39.9634) * CHOOSE( CONTROL!$C$16, $D$11, 100%, $F$11)</f>
        <v>39.965000000000003</v>
      </c>
      <c r="E1056" s="12">
        <f>CHOOSE( CONTROL!$C$33, 39.957, 39.9553) * CHOOSE( CONTROL!$C$16, $D$11, 100%, $F$11)</f>
        <v>39.957000000000001</v>
      </c>
      <c r="F1056" s="4">
        <f>CHOOSE( CONTROL!$C$33, 40.6658, 40.6641) * CHOOSE(CONTROL!$C$16, $D$11, 100%, $F$11)</f>
        <v>40.665799999999997</v>
      </c>
      <c r="G1056" s="8">
        <f>CHOOSE( CONTROL!$C$33, 39.4997, 39.498) * CHOOSE( CONTROL!$C$16, $D$11, 100%, $F$11)</f>
        <v>39.499699999999997</v>
      </c>
      <c r="H1056" s="4">
        <f>CHOOSE( CONTROL!$C$33, 40.4362, 40.4345) * CHOOSE(CONTROL!$C$16, $D$11, 100%, $F$11)</f>
        <v>40.436199999999999</v>
      </c>
      <c r="I1056" s="8">
        <f>CHOOSE( CONTROL!$C$33, 38.8944, 38.8928) * CHOOSE(CONTROL!$C$16, $D$11, 100%, $F$11)</f>
        <v>38.894399999999997</v>
      </c>
      <c r="J1056" s="4">
        <f>CHOOSE( CONTROL!$C$33, 38.7492, 38.7476) * CHOOSE(CONTROL!$C$16, $D$11, 100%, $F$11)</f>
        <v>38.749200000000002</v>
      </c>
      <c r="K1056" s="4"/>
      <c r="L1056" s="9">
        <v>30.7165</v>
      </c>
      <c r="M1056" s="9">
        <v>12.063700000000001</v>
      </c>
      <c r="N1056" s="9">
        <v>4.9444999999999997</v>
      </c>
      <c r="O1056" s="9">
        <v>0.37409999999999999</v>
      </c>
      <c r="P1056" s="9">
        <v>1.2927</v>
      </c>
      <c r="Q1056" s="9">
        <v>19.688099999999999</v>
      </c>
      <c r="R1056" s="9"/>
      <c r="S1056" s="11"/>
    </row>
    <row r="1057" spans="1:19" ht="15.75">
      <c r="A1057" s="13">
        <v>73323</v>
      </c>
      <c r="B1057" s="8">
        <f>CHOOSE( CONTROL!$C$33, 39.1019, 39.1002) * CHOOSE(CONTROL!$C$16, $D$11, 100%, $F$11)</f>
        <v>39.101900000000001</v>
      </c>
      <c r="C1057" s="8">
        <f>CHOOSE( CONTROL!$C$33, 39.1099, 39.1082) * CHOOSE(CONTROL!$C$16, $D$11, 100%, $F$11)</f>
        <v>39.109900000000003</v>
      </c>
      <c r="D1057" s="8">
        <f>CHOOSE( CONTROL!$C$33, 39.1286, 39.127) * CHOOSE( CONTROL!$C$16, $D$11, 100%, $F$11)</f>
        <v>39.128599999999999</v>
      </c>
      <c r="E1057" s="12">
        <f>CHOOSE( CONTROL!$C$33, 39.1206, 39.119) * CHOOSE( CONTROL!$C$16, $D$11, 100%, $F$11)</f>
        <v>39.120600000000003</v>
      </c>
      <c r="F1057" s="4">
        <f>CHOOSE( CONTROL!$C$33, 39.8294, 39.8278) * CHOOSE(CONTROL!$C$16, $D$11, 100%, $F$11)</f>
        <v>39.8294</v>
      </c>
      <c r="G1057" s="8">
        <f>CHOOSE( CONTROL!$C$33, 38.673, 38.6714) * CHOOSE( CONTROL!$C$16, $D$11, 100%, $F$11)</f>
        <v>38.673000000000002</v>
      </c>
      <c r="H1057" s="4">
        <f>CHOOSE( CONTROL!$C$33, 39.6096, 39.608) * CHOOSE(CONTROL!$C$16, $D$11, 100%, $F$11)</f>
        <v>39.6096</v>
      </c>
      <c r="I1057" s="8">
        <f>CHOOSE( CONTROL!$C$33, 38.082, 38.0804) * CHOOSE(CONTROL!$C$16, $D$11, 100%, $F$11)</f>
        <v>38.082000000000001</v>
      </c>
      <c r="J1057" s="4">
        <f>CHOOSE( CONTROL!$C$33, 37.9376, 37.936) * CHOOSE(CONTROL!$C$16, $D$11, 100%, $F$11)</f>
        <v>37.937600000000003</v>
      </c>
      <c r="K1057" s="4"/>
      <c r="L1057" s="9">
        <v>29.7257</v>
      </c>
      <c r="M1057" s="9">
        <v>11.6745</v>
      </c>
      <c r="N1057" s="9">
        <v>4.7850000000000001</v>
      </c>
      <c r="O1057" s="9">
        <v>0.36199999999999999</v>
      </c>
      <c r="P1057" s="9">
        <v>1.2509999999999999</v>
      </c>
      <c r="Q1057" s="9">
        <v>19.053000000000001</v>
      </c>
      <c r="R1057" s="9"/>
      <c r="S1057" s="11"/>
    </row>
    <row r="1058" spans="1:19" ht="15.75">
      <c r="A1058" s="13">
        <v>73354</v>
      </c>
      <c r="B1058" s="8">
        <f>CHOOSE( CONTROL!$C$33, 40.8361, 40.835) * CHOOSE(CONTROL!$C$16, $D$11, 100%, $F$11)</f>
        <v>40.836100000000002</v>
      </c>
      <c r="C1058" s="8">
        <f>CHOOSE( CONTROL!$C$33, 40.8414, 40.8403) * CHOOSE(CONTROL!$C$16, $D$11, 100%, $F$11)</f>
        <v>40.8414</v>
      </c>
      <c r="D1058" s="8">
        <f>CHOOSE( CONTROL!$C$33, 40.8658, 40.8647) * CHOOSE( CONTROL!$C$16, $D$11, 100%, $F$11)</f>
        <v>40.8658</v>
      </c>
      <c r="E1058" s="12">
        <f>CHOOSE( CONTROL!$C$33, 40.8572, 40.8561) * CHOOSE( CONTROL!$C$16, $D$11, 100%, $F$11)</f>
        <v>40.857199999999999</v>
      </c>
      <c r="F1058" s="4">
        <f>CHOOSE( CONTROL!$C$33, 41.5653, 41.5643) * CHOOSE(CONTROL!$C$16, $D$11, 100%, $F$11)</f>
        <v>41.565300000000001</v>
      </c>
      <c r="G1058" s="8">
        <f>CHOOSE( CONTROL!$C$33, 40.3888, 40.3877) * CHOOSE( CONTROL!$C$16, $D$11, 100%, $F$11)</f>
        <v>40.388800000000003</v>
      </c>
      <c r="H1058" s="4">
        <f>CHOOSE( CONTROL!$C$33, 41.3252, 41.3241) * CHOOSE(CONTROL!$C$16, $D$11, 100%, $F$11)</f>
        <v>41.325200000000002</v>
      </c>
      <c r="I1058" s="8">
        <f>CHOOSE( CONTROL!$C$33, 39.7684, 39.7673) * CHOOSE(CONTROL!$C$16, $D$11, 100%, $F$11)</f>
        <v>39.7684</v>
      </c>
      <c r="J1058" s="4">
        <f>CHOOSE( CONTROL!$C$33, 39.6223, 39.6212) * CHOOSE(CONTROL!$C$16, $D$11, 100%, $F$11)</f>
        <v>39.622300000000003</v>
      </c>
      <c r="K1058" s="4"/>
      <c r="L1058" s="9">
        <v>31.095300000000002</v>
      </c>
      <c r="M1058" s="9">
        <v>12.063700000000001</v>
      </c>
      <c r="N1058" s="9">
        <v>4.9444999999999997</v>
      </c>
      <c r="O1058" s="9">
        <v>0.37409999999999999</v>
      </c>
      <c r="P1058" s="9">
        <v>1.2927</v>
      </c>
      <c r="Q1058" s="9">
        <v>19.688099999999999</v>
      </c>
      <c r="R1058" s="9"/>
      <c r="S1058" s="11"/>
    </row>
    <row r="1059" spans="1:19" ht="15.75">
      <c r="A1059" s="13">
        <v>73384</v>
      </c>
      <c r="B1059" s="8">
        <f>CHOOSE( CONTROL!$C$33, 44.0408, 44.0398) * CHOOSE(CONTROL!$C$16, $D$11, 100%, $F$11)</f>
        <v>44.040799999999997</v>
      </c>
      <c r="C1059" s="8">
        <f>CHOOSE( CONTROL!$C$33, 44.0459, 44.0448) * CHOOSE(CONTROL!$C$16, $D$11, 100%, $F$11)</f>
        <v>44.045900000000003</v>
      </c>
      <c r="D1059" s="8">
        <f>CHOOSE( CONTROL!$C$33, 44.0363, 44.0352) * CHOOSE( CONTROL!$C$16, $D$11, 100%, $F$11)</f>
        <v>44.036299999999997</v>
      </c>
      <c r="E1059" s="12">
        <f>CHOOSE( CONTROL!$C$33, 44.0393, 44.0382) * CHOOSE( CONTROL!$C$16, $D$11, 100%, $F$11)</f>
        <v>44.039299999999997</v>
      </c>
      <c r="F1059" s="4">
        <f>CHOOSE( CONTROL!$C$33, 44.701, 44.6999) * CHOOSE(CONTROL!$C$16, $D$11, 100%, $F$11)</f>
        <v>44.701000000000001</v>
      </c>
      <c r="G1059" s="8">
        <f>CHOOSE( CONTROL!$C$33, 43.543, 43.5419) * CHOOSE( CONTROL!$C$16, $D$11, 100%, $F$11)</f>
        <v>43.542999999999999</v>
      </c>
      <c r="H1059" s="4">
        <f>CHOOSE( CONTROL!$C$33, 44.4241, 44.4231) * CHOOSE(CONTROL!$C$16, $D$11, 100%, $F$11)</f>
        <v>44.424100000000003</v>
      </c>
      <c r="I1059" s="8">
        <f>CHOOSE( CONTROL!$C$33, 42.9399, 42.9389) * CHOOSE(CONTROL!$C$16, $D$11, 100%, $F$11)</f>
        <v>42.939900000000002</v>
      </c>
      <c r="J1059" s="4">
        <f>CHOOSE( CONTROL!$C$33, 42.7329, 42.7318) * CHOOSE(CONTROL!$C$16, $D$11, 100%, $F$11)</f>
        <v>42.732900000000001</v>
      </c>
      <c r="K1059" s="4"/>
      <c r="L1059" s="9">
        <v>28.360600000000002</v>
      </c>
      <c r="M1059" s="9">
        <v>11.6745</v>
      </c>
      <c r="N1059" s="9">
        <v>4.7850000000000001</v>
      </c>
      <c r="O1059" s="9">
        <v>0.36199999999999999</v>
      </c>
      <c r="P1059" s="9">
        <v>1.2509999999999999</v>
      </c>
      <c r="Q1059" s="9">
        <v>19.053000000000001</v>
      </c>
      <c r="R1059" s="9"/>
      <c r="S1059" s="11"/>
    </row>
    <row r="1060" spans="1:19" ht="15.75">
      <c r="A1060" s="13">
        <v>73415</v>
      </c>
      <c r="B1060" s="8">
        <f>CHOOSE( CONTROL!$C$33, 43.9608, 43.9597) * CHOOSE(CONTROL!$C$16, $D$11, 100%, $F$11)</f>
        <v>43.960799999999999</v>
      </c>
      <c r="C1060" s="8">
        <f>CHOOSE( CONTROL!$C$33, 43.9658, 43.9648) * CHOOSE(CONTROL!$C$16, $D$11, 100%, $F$11)</f>
        <v>43.965800000000002</v>
      </c>
      <c r="D1060" s="8">
        <f>CHOOSE( CONTROL!$C$33, 43.9577, 43.9566) * CHOOSE( CONTROL!$C$16, $D$11, 100%, $F$11)</f>
        <v>43.957700000000003</v>
      </c>
      <c r="E1060" s="12">
        <f>CHOOSE( CONTROL!$C$33, 43.9601, 43.9591) * CHOOSE( CONTROL!$C$16, $D$11, 100%, $F$11)</f>
        <v>43.960099999999997</v>
      </c>
      <c r="F1060" s="4">
        <f>CHOOSE( CONTROL!$C$33, 44.6209, 44.6198) * CHOOSE(CONTROL!$C$16, $D$11, 100%, $F$11)</f>
        <v>44.620899999999999</v>
      </c>
      <c r="G1060" s="8">
        <f>CHOOSE( CONTROL!$C$33, 43.4649, 43.4638) * CHOOSE( CONTROL!$C$16, $D$11, 100%, $F$11)</f>
        <v>43.4649</v>
      </c>
      <c r="H1060" s="4">
        <f>CHOOSE( CONTROL!$C$33, 44.345, 44.3439) * CHOOSE(CONTROL!$C$16, $D$11, 100%, $F$11)</f>
        <v>44.344999999999999</v>
      </c>
      <c r="I1060" s="8">
        <f>CHOOSE( CONTROL!$C$33, 42.8666, 42.8656) * CHOOSE(CONTROL!$C$16, $D$11, 100%, $F$11)</f>
        <v>42.866599999999998</v>
      </c>
      <c r="J1060" s="4">
        <f>CHOOSE( CONTROL!$C$33, 42.6552, 42.6541) * CHOOSE(CONTROL!$C$16, $D$11, 100%, $F$11)</f>
        <v>42.655200000000001</v>
      </c>
      <c r="K1060" s="4"/>
      <c r="L1060" s="9">
        <v>29.306000000000001</v>
      </c>
      <c r="M1060" s="9">
        <v>12.063700000000001</v>
      </c>
      <c r="N1060" s="9">
        <v>4.9444999999999997</v>
      </c>
      <c r="O1060" s="9">
        <v>0.37409999999999999</v>
      </c>
      <c r="P1060" s="9">
        <v>1.2927</v>
      </c>
      <c r="Q1060" s="9">
        <v>19.688099999999999</v>
      </c>
      <c r="R1060" s="9"/>
      <c r="S1060" s="11"/>
    </row>
    <row r="1061" spans="1:19">
      <c r="A1061" s="10"/>
      <c r="F1061" s="1"/>
      <c r="H1061" s="1"/>
      <c r="Q1061" s="9"/>
    </row>
    <row r="1062" spans="1:19" ht="15" customHeight="1">
      <c r="A1062" s="3">
        <v>2014</v>
      </c>
      <c r="B1062" s="8">
        <f t="shared" ref="B1062:H1062" si="1">AVERAGE(B17:B28)</f>
        <v>4.5447153619080494</v>
      </c>
      <c r="C1062" s="8">
        <f t="shared" si="1"/>
        <v>4.5509264770891305</v>
      </c>
      <c r="D1062" s="8">
        <f t="shared" si="1"/>
        <v>4.5798962533450958</v>
      </c>
      <c r="E1062" s="8">
        <f t="shared" si="1"/>
        <v>4.570153599793513</v>
      </c>
      <c r="F1062" s="4">
        <f t="shared" si="1"/>
        <v>5.2487167158129715</v>
      </c>
      <c r="G1062" s="8">
        <f t="shared" si="1"/>
        <v>4.540828004708156</v>
      </c>
      <c r="H1062" s="4">
        <f t="shared" si="1"/>
        <v>5.3672238437301942</v>
      </c>
      <c r="I1062" s="8"/>
      <c r="J1062" s="4">
        <f>AVERAGE(J17:J28)</f>
        <v>4.4053551126387642</v>
      </c>
      <c r="K1062" s="4">
        <f>AVERAGE(K17:K28)</f>
        <v>4.5057754479414163</v>
      </c>
      <c r="L1062" s="5">
        <f>SUM(L17:L28)</f>
        <v>360.57927420000004</v>
      </c>
      <c r="M1062" s="5">
        <f>SUM(M17:M28)</f>
        <v>142.03995</v>
      </c>
      <c r="N1062" s="5">
        <f>SUM(N17:N28)</f>
        <v>56.540100000000002</v>
      </c>
      <c r="O1062" s="5">
        <f>SUM(O17:O28)</f>
        <v>7.7105140000000025</v>
      </c>
      <c r="P1062" s="5">
        <f>SUM(P17:P28)</f>
        <v>7.914449276</v>
      </c>
      <c r="Q1062" s="5"/>
      <c r="R1062" s="5">
        <f>SUM(R17:R28)</f>
        <v>3.899999999999999</v>
      </c>
      <c r="S1062" s="5">
        <f>SUM(S17:S28)</f>
        <v>12.630875000000003</v>
      </c>
    </row>
    <row r="1063" spans="1:19" ht="15" customHeight="1">
      <c r="A1063" s="3">
        <v>2015</v>
      </c>
      <c r="B1063" s="8">
        <f t="shared" ref="B1063:H1063" si="2">AVERAGE(B29:B40)</f>
        <v>3.9990583333333327</v>
      </c>
      <c r="C1063" s="8">
        <f t="shared" si="2"/>
        <v>4.0052833333333329</v>
      </c>
      <c r="D1063" s="8">
        <f t="shared" si="2"/>
        <v>4.0052499999999993</v>
      </c>
      <c r="E1063" s="8">
        <f t="shared" si="2"/>
        <v>4.0044083333333331</v>
      </c>
      <c r="F1063" s="4">
        <f t="shared" si="2"/>
        <v>4.6992500000000001</v>
      </c>
      <c r="G1063" s="8">
        <f t="shared" si="2"/>
        <v>3.9748083333333333</v>
      </c>
      <c r="H1063" s="4">
        <f t="shared" si="2"/>
        <v>4.8908666666666667</v>
      </c>
      <c r="I1063" s="8"/>
      <c r="J1063" s="4">
        <f>AVERAGE(J29:J40)</f>
        <v>3.8713916666666663</v>
      </c>
      <c r="K1063" s="4">
        <f>AVERAGE(K29:K40)</f>
        <v>3.9607250000000005</v>
      </c>
      <c r="L1063" s="5">
        <f>SUM(L29:L40)</f>
        <v>361.77389999999997</v>
      </c>
      <c r="M1063" s="5">
        <f>SUM(M29:M40)</f>
        <v>142.0401</v>
      </c>
      <c r="N1063" s="5">
        <f>SUM(N29:N40)</f>
        <v>56.113899999999994</v>
      </c>
      <c r="O1063" s="5">
        <f>SUM(O29:O40)</f>
        <v>7.2496000000000018</v>
      </c>
      <c r="P1063" s="5">
        <f>SUM(P29:P40)</f>
        <v>16.906700000000001</v>
      </c>
      <c r="Q1063" s="5"/>
      <c r="R1063" s="5">
        <f>SUM(R29:R40)</f>
        <v>3.5999999999999992</v>
      </c>
      <c r="S1063" s="5">
        <f>SUM(S29:S40)</f>
        <v>12.811500000000002</v>
      </c>
    </row>
    <row r="1064" spans="1:19" ht="15" customHeight="1">
      <c r="A1064" s="3">
        <v>2016</v>
      </c>
      <c r="B1064" s="8">
        <f t="shared" ref="B1064:H1064" si="3">AVERAGE(B41:B52)</f>
        <v>4.1276666666666673</v>
      </c>
      <c r="C1064" s="8">
        <f t="shared" si="3"/>
        <v>4.1339416666666677</v>
      </c>
      <c r="D1064" s="8">
        <f t="shared" si="3"/>
        <v>4.1384833333333342</v>
      </c>
      <c r="E1064" s="8">
        <f t="shared" si="3"/>
        <v>4.1360333333333328</v>
      </c>
      <c r="F1064" s="4">
        <f t="shared" si="3"/>
        <v>4.8273999999999999</v>
      </c>
      <c r="G1064" s="8">
        <f t="shared" si="3"/>
        <v>4.0943500000000004</v>
      </c>
      <c r="H1064" s="4">
        <f t="shared" si="3"/>
        <v>5.0175083333333337</v>
      </c>
      <c r="I1064" s="8"/>
      <c r="J1064" s="4">
        <f>AVERAGE(J41:J52)</f>
        <v>3.9962250000000004</v>
      </c>
      <c r="K1064" s="5"/>
      <c r="L1064" s="5">
        <f>SUM(L41:L52)</f>
        <v>356.48229999999995</v>
      </c>
      <c r="M1064" s="5">
        <f>SUM(M41:M52)</f>
        <v>142.42920000000001</v>
      </c>
      <c r="N1064" s="5">
        <f>SUM(N41:N52)</f>
        <v>58.377000000000002</v>
      </c>
      <c r="O1064" s="5">
        <f>SUM(O41:O52)</f>
        <v>5.3597999999999999</v>
      </c>
      <c r="P1064" s="5">
        <f>SUM(P41:P52)</f>
        <v>20.483299999999996</v>
      </c>
      <c r="Q1064" s="5"/>
      <c r="R1064" s="5">
        <f>SUM(R41:R52)</f>
        <v>3.5999999999999992</v>
      </c>
      <c r="S1064" s="5"/>
    </row>
    <row r="1065" spans="1:19" ht="15" customHeight="1">
      <c r="A1065" s="3">
        <v>2017</v>
      </c>
      <c r="B1065" s="8">
        <f t="shared" ref="B1065:J1065" si="4">AVERAGE(B53:B64)</f>
        <v>4.6213833333333332</v>
      </c>
      <c r="C1065" s="8">
        <f t="shared" si="4"/>
        <v>4.627625000000001</v>
      </c>
      <c r="D1065" s="8">
        <f t="shared" si="4"/>
        <v>4.6333833333333336</v>
      </c>
      <c r="E1065" s="8">
        <f t="shared" si="4"/>
        <v>4.6305249999999996</v>
      </c>
      <c r="F1065" s="4">
        <f t="shared" si="4"/>
        <v>5.3210749999999996</v>
      </c>
      <c r="G1065" s="8">
        <f t="shared" si="4"/>
        <v>4.581783333333334</v>
      </c>
      <c r="H1065" s="4">
        <f t="shared" si="4"/>
        <v>5.5054166666666662</v>
      </c>
      <c r="I1065" s="8">
        <f t="shared" si="4"/>
        <v>4.6220749999999997</v>
      </c>
      <c r="J1065" s="4">
        <f t="shared" si="4"/>
        <v>4.4753333333333334</v>
      </c>
      <c r="K1065" s="4"/>
      <c r="L1065" s="5">
        <f t="shared" ref="L1065:Q1065" si="5">SUM(L53:L64)</f>
        <v>355.53689999999995</v>
      </c>
      <c r="M1065" s="5">
        <f t="shared" si="5"/>
        <v>142.0401</v>
      </c>
      <c r="N1065" s="5">
        <f t="shared" si="5"/>
        <v>58.217499999999994</v>
      </c>
      <c r="O1065" s="5">
        <f t="shared" si="5"/>
        <v>4.4046000000000003</v>
      </c>
      <c r="P1065" s="5">
        <f t="shared" si="5"/>
        <v>20.590200000000003</v>
      </c>
      <c r="Q1065" s="5">
        <f t="shared" si="5"/>
        <v>198.18529999999998</v>
      </c>
      <c r="R1065" s="5"/>
      <c r="S1065" s="4"/>
    </row>
    <row r="1066" spans="1:19" ht="15" customHeight="1">
      <c r="A1066" s="3">
        <v>2018</v>
      </c>
      <c r="B1066" s="8">
        <f t="shared" ref="B1066:J1066" si="6">AVERAGE(B65:B76)</f>
        <v>4.8376333333333328</v>
      </c>
      <c r="C1066" s="8">
        <f t="shared" si="6"/>
        <v>4.8438749999999997</v>
      </c>
      <c r="D1066" s="8">
        <f t="shared" si="6"/>
        <v>4.8548333333333327</v>
      </c>
      <c r="E1066" s="8">
        <f t="shared" si="6"/>
        <v>4.8501833333333337</v>
      </c>
      <c r="F1066" s="4">
        <f t="shared" si="6"/>
        <v>5.5373416666666664</v>
      </c>
      <c r="G1066" s="8">
        <f t="shared" si="6"/>
        <v>4.8066000000000004</v>
      </c>
      <c r="H1066" s="4">
        <f t="shared" si="6"/>
        <v>5.7191333333333345</v>
      </c>
      <c r="I1066" s="8">
        <f t="shared" si="6"/>
        <v>4.8320500000000006</v>
      </c>
      <c r="J1066" s="4">
        <f t="shared" si="6"/>
        <v>4.6852</v>
      </c>
      <c r="K1066" s="4"/>
      <c r="L1066" s="5">
        <f t="shared" ref="L1066:Q1066" si="7">SUM(L65:L76)</f>
        <v>355.53689999999995</v>
      </c>
      <c r="M1066" s="5">
        <f t="shared" si="7"/>
        <v>142.0401</v>
      </c>
      <c r="N1066" s="5">
        <f t="shared" si="7"/>
        <v>58.217499999999994</v>
      </c>
      <c r="O1066" s="5">
        <f t="shared" si="7"/>
        <v>4.4046000000000003</v>
      </c>
      <c r="P1066" s="5">
        <f t="shared" si="7"/>
        <v>15.220499999999998</v>
      </c>
      <c r="Q1066" s="5">
        <f t="shared" si="7"/>
        <v>293.19730000000004</v>
      </c>
      <c r="R1066" s="5"/>
      <c r="S1066" s="4"/>
    </row>
    <row r="1067" spans="1:19" ht="15" customHeight="1">
      <c r="A1067" s="3">
        <v>2019</v>
      </c>
      <c r="B1067" s="8">
        <f t="shared" ref="B1067:J1067" si="8">AVERAGE(B77:B88)</f>
        <v>5.4724333333333339</v>
      </c>
      <c r="C1067" s="8">
        <f t="shared" si="8"/>
        <v>5.4786999999999999</v>
      </c>
      <c r="D1067" s="8">
        <f t="shared" si="8"/>
        <v>5.4896416666666674</v>
      </c>
      <c r="E1067" s="8">
        <f t="shared" si="8"/>
        <v>5.4849916666666658</v>
      </c>
      <c r="F1067" s="4">
        <f t="shared" si="8"/>
        <v>6.1721500000000011</v>
      </c>
      <c r="G1067" s="8">
        <f t="shared" si="8"/>
        <v>5.4339833333333329</v>
      </c>
      <c r="H1067" s="4">
        <f t="shared" si="8"/>
        <v>6.3465333333333334</v>
      </c>
      <c r="I1067" s="8">
        <f t="shared" si="8"/>
        <v>5.4484499999999985</v>
      </c>
      <c r="J1067" s="4">
        <f t="shared" si="8"/>
        <v>5.3012833333333331</v>
      </c>
      <c r="K1067" s="4"/>
      <c r="L1067" s="5">
        <f t="shared" ref="L1067:Q1067" si="9">SUM(L77:L88)</f>
        <v>355.53689999999995</v>
      </c>
      <c r="M1067" s="5">
        <f t="shared" si="9"/>
        <v>142.0401</v>
      </c>
      <c r="N1067" s="5">
        <f t="shared" si="9"/>
        <v>58.217499999999994</v>
      </c>
      <c r="O1067" s="5">
        <f t="shared" si="9"/>
        <v>4.4046000000000003</v>
      </c>
      <c r="P1067" s="5">
        <f t="shared" si="9"/>
        <v>15.220499999999998</v>
      </c>
      <c r="Q1067" s="5">
        <f t="shared" si="9"/>
        <v>290.24799999999999</v>
      </c>
      <c r="R1067" s="5"/>
      <c r="S1067" s="4"/>
    </row>
    <row r="1068" spans="1:19" ht="15" customHeight="1">
      <c r="A1068" s="3">
        <v>2020</v>
      </c>
      <c r="B1068" s="8">
        <f t="shared" ref="B1068:J1068" si="10">AVERAGE(B89:B100)</f>
        <v>5.6269999999999998</v>
      </c>
      <c r="C1068" s="8">
        <f t="shared" si="10"/>
        <v>5.6332500000000003</v>
      </c>
      <c r="D1068" s="8">
        <f t="shared" si="10"/>
        <v>5.6441749999999997</v>
      </c>
      <c r="E1068" s="8">
        <f t="shared" si="10"/>
        <v>5.6395499999999998</v>
      </c>
      <c r="F1068" s="4">
        <f t="shared" si="10"/>
        <v>6.326716666666667</v>
      </c>
      <c r="G1068" s="8">
        <f t="shared" si="10"/>
        <v>5.5867250000000004</v>
      </c>
      <c r="H1068" s="4">
        <f t="shared" si="10"/>
        <v>6.49925</v>
      </c>
      <c r="I1068" s="8">
        <f t="shared" si="10"/>
        <v>5.5985166666666659</v>
      </c>
      <c r="J1068" s="4">
        <f t="shared" si="10"/>
        <v>5.4512833333333335</v>
      </c>
      <c r="K1068" s="4"/>
      <c r="L1068" s="5">
        <f t="shared" ref="L1068:Q1068" si="11">SUM(L89:L100)</f>
        <v>356.48229999999995</v>
      </c>
      <c r="M1068" s="5">
        <f t="shared" si="11"/>
        <v>142.42920000000001</v>
      </c>
      <c r="N1068" s="5">
        <f t="shared" si="11"/>
        <v>58.377000000000002</v>
      </c>
      <c r="O1068" s="5">
        <f t="shared" si="11"/>
        <v>4.4165999999999999</v>
      </c>
      <c r="P1068" s="5">
        <f t="shared" si="11"/>
        <v>15.262199999999998</v>
      </c>
      <c r="Q1068" s="5">
        <f t="shared" si="11"/>
        <v>349.04309999999998</v>
      </c>
      <c r="R1068" s="5"/>
      <c r="S1068" s="4"/>
    </row>
    <row r="1069" spans="1:19" ht="15" customHeight="1">
      <c r="A1069" s="3">
        <v>2021</v>
      </c>
      <c r="B1069" s="8">
        <f t="shared" ref="B1069:J1069" si="12">AVERAGE(B101:B112)</f>
        <v>5.8330750000000009</v>
      </c>
      <c r="C1069" s="8">
        <f t="shared" si="12"/>
        <v>5.8393416666666669</v>
      </c>
      <c r="D1069" s="8">
        <f t="shared" si="12"/>
        <v>5.8502750000000008</v>
      </c>
      <c r="E1069" s="8">
        <f t="shared" si="12"/>
        <v>5.8456333333333328</v>
      </c>
      <c r="F1069" s="4">
        <f t="shared" si="12"/>
        <v>6.5327833333333318</v>
      </c>
      <c r="G1069" s="8">
        <f t="shared" si="12"/>
        <v>5.7903999999999991</v>
      </c>
      <c r="H1069" s="4">
        <f t="shared" si="12"/>
        <v>6.7029333333333332</v>
      </c>
      <c r="I1069" s="8">
        <f t="shared" si="12"/>
        <v>5.7986250000000004</v>
      </c>
      <c r="J1069" s="4">
        <f t="shared" si="12"/>
        <v>5.6513083333333336</v>
      </c>
      <c r="K1069" s="4"/>
      <c r="L1069" s="5">
        <f t="shared" ref="L1069:Q1069" si="13">SUM(L101:L112)</f>
        <v>355.53689999999995</v>
      </c>
      <c r="M1069" s="5">
        <f t="shared" si="13"/>
        <v>142.0401</v>
      </c>
      <c r="N1069" s="5">
        <f t="shared" si="13"/>
        <v>58.217499999999994</v>
      </c>
      <c r="O1069" s="5">
        <f t="shared" si="13"/>
        <v>4.4046000000000003</v>
      </c>
      <c r="P1069" s="5">
        <f t="shared" si="13"/>
        <v>15.220499999999998</v>
      </c>
      <c r="Q1069" s="5">
        <f t="shared" si="13"/>
        <v>388.68129999999996</v>
      </c>
      <c r="R1069" s="5"/>
      <c r="S1069" s="4"/>
    </row>
    <row r="1070" spans="1:19" ht="15" customHeight="1">
      <c r="A1070" s="3">
        <v>2022</v>
      </c>
      <c r="B1070" s="8">
        <f t="shared" ref="B1070:J1070" si="14">AVERAGE(B113:B124)</f>
        <v>6.039158333333333</v>
      </c>
      <c r="C1070" s="8">
        <f t="shared" si="14"/>
        <v>6.0454250000000007</v>
      </c>
      <c r="D1070" s="8">
        <f t="shared" si="14"/>
        <v>6.056350000000001</v>
      </c>
      <c r="E1070" s="8">
        <f t="shared" si="14"/>
        <v>6.0517000000000003</v>
      </c>
      <c r="F1070" s="4">
        <f t="shared" si="14"/>
        <v>6.7388749999999993</v>
      </c>
      <c r="G1070" s="8">
        <f t="shared" si="14"/>
        <v>5.994066666666666</v>
      </c>
      <c r="H1070" s="4">
        <f t="shared" si="14"/>
        <v>6.9066000000000001</v>
      </c>
      <c r="I1070" s="8">
        <f t="shared" si="14"/>
        <v>5.998708333333334</v>
      </c>
      <c r="J1070" s="4">
        <f t="shared" si="14"/>
        <v>5.8512999999999993</v>
      </c>
      <c r="K1070" s="4"/>
      <c r="L1070" s="5">
        <f t="shared" ref="L1070:Q1070" si="15">SUM(L113:L124)</f>
        <v>355.53689999999995</v>
      </c>
      <c r="M1070" s="5">
        <f t="shared" si="15"/>
        <v>142.0401</v>
      </c>
      <c r="N1070" s="5">
        <f t="shared" si="15"/>
        <v>58.217499999999994</v>
      </c>
      <c r="O1070" s="5">
        <f t="shared" si="15"/>
        <v>4.4046000000000003</v>
      </c>
      <c r="P1070" s="5">
        <f t="shared" si="15"/>
        <v>15.220499999999998</v>
      </c>
      <c r="Q1070" s="5">
        <f t="shared" si="15"/>
        <v>386.33820000000003</v>
      </c>
      <c r="R1070" s="5"/>
      <c r="S1070" s="4"/>
    </row>
    <row r="1071" spans="1:19" ht="15" customHeight="1">
      <c r="A1071" s="3">
        <v>2023</v>
      </c>
      <c r="B1071" s="8">
        <f t="shared" ref="B1071:J1071" si="16">AVERAGE(B125:B136)</f>
        <v>6.2452416666666659</v>
      </c>
      <c r="C1071" s="8">
        <f t="shared" si="16"/>
        <v>6.2514833333333337</v>
      </c>
      <c r="D1071" s="8">
        <f t="shared" si="16"/>
        <v>6.2624500000000003</v>
      </c>
      <c r="E1071" s="8">
        <f t="shared" si="16"/>
        <v>6.257791666666666</v>
      </c>
      <c r="F1071" s="4">
        <f t="shared" si="16"/>
        <v>6.9449499999999995</v>
      </c>
      <c r="G1071" s="8">
        <f t="shared" si="16"/>
        <v>6.1977333333333329</v>
      </c>
      <c r="H1071" s="4">
        <f t="shared" si="16"/>
        <v>7.110266666666667</v>
      </c>
      <c r="I1071" s="8">
        <f t="shared" si="16"/>
        <v>6.198825000000002</v>
      </c>
      <c r="J1071" s="4">
        <f t="shared" si="16"/>
        <v>6.0512916666666667</v>
      </c>
      <c r="K1071" s="4"/>
      <c r="L1071" s="5">
        <f t="shared" ref="L1071:Q1071" si="17">SUM(L125:L136)</f>
        <v>355.53689999999995</v>
      </c>
      <c r="M1071" s="5">
        <f t="shared" si="17"/>
        <v>142.0401</v>
      </c>
      <c r="N1071" s="5">
        <f t="shared" si="17"/>
        <v>58.217499999999994</v>
      </c>
      <c r="O1071" s="5">
        <f t="shared" si="17"/>
        <v>4.4046000000000003</v>
      </c>
      <c r="P1071" s="5">
        <f t="shared" si="17"/>
        <v>15.220499999999998</v>
      </c>
      <c r="Q1071" s="5">
        <f t="shared" si="17"/>
        <v>384.12599999999998</v>
      </c>
      <c r="R1071" s="5"/>
      <c r="S1071" s="4"/>
    </row>
    <row r="1072" spans="1:19" ht="15" customHeight="1">
      <c r="A1072" s="3">
        <v>2024</v>
      </c>
      <c r="B1072" s="8">
        <f t="shared" ref="B1072:J1072" si="18">AVERAGE(B137:B148)</f>
        <v>6.4513166666666661</v>
      </c>
      <c r="C1072" s="8">
        <f t="shared" si="18"/>
        <v>6.457583333333333</v>
      </c>
      <c r="D1072" s="8">
        <f t="shared" si="18"/>
        <v>6.4685250000000005</v>
      </c>
      <c r="E1072" s="8">
        <f t="shared" si="18"/>
        <v>6.4638750000000016</v>
      </c>
      <c r="F1072" s="4">
        <f t="shared" si="18"/>
        <v>7.1510249999999997</v>
      </c>
      <c r="G1072" s="8">
        <f t="shared" si="18"/>
        <v>6.4013916666666679</v>
      </c>
      <c r="H1072" s="4">
        <f t="shared" si="18"/>
        <v>7.3139333333333338</v>
      </c>
      <c r="I1072" s="8">
        <f t="shared" si="18"/>
        <v>6.3989250000000011</v>
      </c>
      <c r="J1072" s="4">
        <f t="shared" si="18"/>
        <v>6.2512666666666661</v>
      </c>
      <c r="K1072" s="4"/>
      <c r="L1072" s="5">
        <f t="shared" ref="L1072:Q1072" si="19">SUM(L137:L148)</f>
        <v>356.48229999999995</v>
      </c>
      <c r="M1072" s="5">
        <f t="shared" si="19"/>
        <v>142.42920000000001</v>
      </c>
      <c r="N1072" s="5">
        <f t="shared" si="19"/>
        <v>58.377000000000002</v>
      </c>
      <c r="O1072" s="5">
        <f t="shared" si="19"/>
        <v>4.4165999999999999</v>
      </c>
      <c r="P1072" s="5">
        <f t="shared" si="19"/>
        <v>15.262199999999998</v>
      </c>
      <c r="Q1072" s="5">
        <f t="shared" si="19"/>
        <v>383.00459999999998</v>
      </c>
      <c r="R1072" s="5"/>
      <c r="S1072" s="4"/>
    </row>
    <row r="1073" spans="1:19" ht="15" customHeight="1">
      <c r="A1073" s="3">
        <v>2025</v>
      </c>
      <c r="B1073" s="8">
        <f t="shared" ref="B1073:J1073" si="20">AVERAGE(B149:B160)</f>
        <v>6.6058750000000002</v>
      </c>
      <c r="C1073" s="8">
        <f t="shared" si="20"/>
        <v>6.6121333333333325</v>
      </c>
      <c r="D1073" s="8">
        <f t="shared" si="20"/>
        <v>6.6230583333333337</v>
      </c>
      <c r="E1073" s="8">
        <f t="shared" si="20"/>
        <v>6.6184166666666657</v>
      </c>
      <c r="F1073" s="4">
        <f t="shared" si="20"/>
        <v>7.305600000000001</v>
      </c>
      <c r="G1073" s="8">
        <f t="shared" si="20"/>
        <v>6.5541499999999999</v>
      </c>
      <c r="H1073" s="4">
        <f t="shared" si="20"/>
        <v>7.4666750000000013</v>
      </c>
      <c r="I1073" s="8">
        <f t="shared" si="20"/>
        <v>6.5489916666666668</v>
      </c>
      <c r="J1073" s="4">
        <f t="shared" si="20"/>
        <v>6.4012750000000009</v>
      </c>
      <c r="K1073" s="4"/>
      <c r="L1073" s="5">
        <f t="shared" ref="L1073:Q1073" si="21">SUM(L149:L160)</f>
        <v>355.53689999999995</v>
      </c>
      <c r="M1073" s="5">
        <f t="shared" si="21"/>
        <v>142.0401</v>
      </c>
      <c r="N1073" s="5">
        <f t="shared" si="21"/>
        <v>58.217499999999994</v>
      </c>
      <c r="O1073" s="5">
        <f t="shared" si="21"/>
        <v>4.4046000000000003</v>
      </c>
      <c r="P1073" s="5">
        <f t="shared" si="21"/>
        <v>15.220499999999998</v>
      </c>
      <c r="Q1073" s="5">
        <f t="shared" si="21"/>
        <v>379.76819999999998</v>
      </c>
      <c r="R1073" s="5"/>
      <c r="S1073" s="4"/>
    </row>
    <row r="1074" spans="1:19" ht="15" customHeight="1">
      <c r="A1074" s="3">
        <v>2026</v>
      </c>
      <c r="B1074" s="8">
        <f t="shared" ref="B1074:J1074" si="22">AVERAGE(B161:B172)</f>
        <v>6.8119666666666667</v>
      </c>
      <c r="C1074" s="8">
        <f t="shared" si="22"/>
        <v>6.8182</v>
      </c>
      <c r="D1074" s="8">
        <f t="shared" si="22"/>
        <v>6.8291666666666657</v>
      </c>
      <c r="E1074" s="8">
        <f t="shared" si="22"/>
        <v>6.8245166666666668</v>
      </c>
      <c r="F1074" s="4">
        <f t="shared" si="22"/>
        <v>7.5116750000000003</v>
      </c>
      <c r="G1074" s="8">
        <f t="shared" si="22"/>
        <v>6.7578083333333332</v>
      </c>
      <c r="H1074" s="4">
        <f t="shared" si="22"/>
        <v>7.6703416666666664</v>
      </c>
      <c r="I1074" s="8">
        <f t="shared" si="22"/>
        <v>6.7490999999999985</v>
      </c>
      <c r="J1074" s="4">
        <f t="shared" si="22"/>
        <v>6.6012833333333347</v>
      </c>
      <c r="K1074" s="4"/>
      <c r="L1074" s="5">
        <f t="shared" ref="L1074:Q1074" si="23">SUM(L161:L172)</f>
        <v>355.53689999999995</v>
      </c>
      <c r="M1074" s="5">
        <f t="shared" si="23"/>
        <v>142.0401</v>
      </c>
      <c r="N1074" s="5">
        <f t="shared" si="23"/>
        <v>58.217499999999994</v>
      </c>
      <c r="O1074" s="5">
        <f t="shared" si="23"/>
        <v>4.4046000000000003</v>
      </c>
      <c r="P1074" s="5">
        <f t="shared" si="23"/>
        <v>15.220499999999998</v>
      </c>
      <c r="Q1074" s="5">
        <f t="shared" si="23"/>
        <v>377.59969999999987</v>
      </c>
      <c r="R1074" s="5"/>
      <c r="S1074" s="4"/>
    </row>
    <row r="1075" spans="1:19" ht="15" customHeight="1">
      <c r="A1075" s="3">
        <v>2027</v>
      </c>
      <c r="B1075" s="8">
        <f t="shared" ref="B1075:J1075" si="24">AVERAGE(B173:B184)</f>
        <v>7.0695666666666668</v>
      </c>
      <c r="C1075" s="8">
        <f t="shared" si="24"/>
        <v>7.0757999999999983</v>
      </c>
      <c r="D1075" s="8">
        <f t="shared" si="24"/>
        <v>7.0867499999999994</v>
      </c>
      <c r="E1075" s="8">
        <f t="shared" si="24"/>
        <v>7.0821000000000005</v>
      </c>
      <c r="F1075" s="4">
        <f t="shared" si="24"/>
        <v>7.769283333333334</v>
      </c>
      <c r="G1075" s="8">
        <f t="shared" si="24"/>
        <v>7.0124083333333331</v>
      </c>
      <c r="H1075" s="4">
        <f t="shared" si="24"/>
        <v>7.9249166666666673</v>
      </c>
      <c r="I1075" s="8">
        <f t="shared" si="24"/>
        <v>6.9992166666666664</v>
      </c>
      <c r="J1075" s="4">
        <f t="shared" si="24"/>
        <v>6.8512916666666657</v>
      </c>
      <c r="K1075" s="4"/>
      <c r="L1075" s="5">
        <f t="shared" ref="L1075:Q1075" si="25">SUM(L173:L184)</f>
        <v>355.53689999999995</v>
      </c>
      <c r="M1075" s="5">
        <f t="shared" si="25"/>
        <v>142.0401</v>
      </c>
      <c r="N1075" s="5">
        <f t="shared" si="25"/>
        <v>58.217499999999994</v>
      </c>
      <c r="O1075" s="5">
        <f t="shared" si="25"/>
        <v>4.4046000000000003</v>
      </c>
      <c r="P1075" s="5">
        <f t="shared" si="25"/>
        <v>15.220499999999998</v>
      </c>
      <c r="Q1075" s="5">
        <f t="shared" si="25"/>
        <v>375.43180000000001</v>
      </c>
      <c r="R1075" s="5"/>
      <c r="S1075" s="4"/>
    </row>
    <row r="1076" spans="1:19" ht="15" customHeight="1">
      <c r="A1076" s="3">
        <v>2028</v>
      </c>
      <c r="B1076" s="8">
        <f t="shared" ref="B1076:J1076" si="26">AVERAGE(B185:B196)</f>
        <v>7.3271583333333323</v>
      </c>
      <c r="C1076" s="8">
        <f t="shared" si="26"/>
        <v>7.3334166666666674</v>
      </c>
      <c r="D1076" s="8">
        <f t="shared" si="26"/>
        <v>7.3443500000000013</v>
      </c>
      <c r="E1076" s="8">
        <f t="shared" si="26"/>
        <v>7.3397166666666678</v>
      </c>
      <c r="F1076" s="4">
        <f t="shared" si="26"/>
        <v>8.0268583333333332</v>
      </c>
      <c r="G1076" s="8">
        <f t="shared" si="26"/>
        <v>7.2669833333333331</v>
      </c>
      <c r="H1076" s="4">
        <f t="shared" si="26"/>
        <v>8.1794999999999991</v>
      </c>
      <c r="I1076" s="8">
        <f t="shared" si="26"/>
        <v>7.249366666666667</v>
      </c>
      <c r="J1076" s="4">
        <f t="shared" si="26"/>
        <v>7.1013000000000011</v>
      </c>
      <c r="K1076" s="4"/>
      <c r="L1076" s="5">
        <f t="shared" ref="L1076:Q1076" si="27">SUM(L185:L196)</f>
        <v>356.48229999999995</v>
      </c>
      <c r="M1076" s="5">
        <f t="shared" si="27"/>
        <v>142.42920000000001</v>
      </c>
      <c r="N1076" s="5">
        <f t="shared" si="27"/>
        <v>58.377000000000002</v>
      </c>
      <c r="O1076" s="5">
        <f t="shared" si="27"/>
        <v>4.4165999999999999</v>
      </c>
      <c r="P1076" s="5">
        <f t="shared" si="27"/>
        <v>15.262199999999998</v>
      </c>
      <c r="Q1076" s="5">
        <f t="shared" si="27"/>
        <v>374.28599999999994</v>
      </c>
      <c r="R1076" s="5"/>
      <c r="S1076" s="4"/>
    </row>
    <row r="1077" spans="1:19" ht="15" customHeight="1">
      <c r="A1077" s="3">
        <v>2029</v>
      </c>
      <c r="B1077" s="8">
        <f t="shared" ref="B1077:J1077" si="28">AVERAGE(B197:B208)</f>
        <v>7.6362583333333331</v>
      </c>
      <c r="C1077" s="8">
        <f t="shared" si="28"/>
        <v>7.6425416666666672</v>
      </c>
      <c r="D1077" s="8">
        <f t="shared" si="28"/>
        <v>7.6534750000000003</v>
      </c>
      <c r="E1077" s="8">
        <f t="shared" si="28"/>
        <v>7.6488333333333332</v>
      </c>
      <c r="F1077" s="4">
        <f t="shared" si="28"/>
        <v>8.3360000000000003</v>
      </c>
      <c r="G1077" s="8">
        <f t="shared" si="28"/>
        <v>7.5724833333333335</v>
      </c>
      <c r="H1077" s="4">
        <f t="shared" si="28"/>
        <v>8.4850083333333348</v>
      </c>
      <c r="I1077" s="8">
        <f t="shared" si="28"/>
        <v>7.549500000000001</v>
      </c>
      <c r="J1077" s="4">
        <f t="shared" si="28"/>
        <v>7.4012833333333319</v>
      </c>
      <c r="K1077" s="4"/>
      <c r="L1077" s="5">
        <f t="shared" ref="L1077:Q1077" si="29">SUM(L197:L208)</f>
        <v>355.53689999999995</v>
      </c>
      <c r="M1077" s="5">
        <f t="shared" si="29"/>
        <v>142.0401</v>
      </c>
      <c r="N1077" s="5">
        <f t="shared" si="29"/>
        <v>58.217499999999994</v>
      </c>
      <c r="O1077" s="5">
        <f t="shared" si="29"/>
        <v>4.4046000000000003</v>
      </c>
      <c r="P1077" s="5">
        <f t="shared" si="29"/>
        <v>15.220499999999998</v>
      </c>
      <c r="Q1077" s="5">
        <f t="shared" si="29"/>
        <v>371.09549999999996</v>
      </c>
      <c r="R1077" s="5"/>
      <c r="S1077" s="4"/>
    </row>
    <row r="1078" spans="1:19" ht="15" customHeight="1">
      <c r="A1078" s="3">
        <v>2030</v>
      </c>
      <c r="B1078" s="8">
        <f t="shared" ref="B1078:J1078" si="30">AVERAGE(B209:B220)</f>
        <v>7.9454083333333339</v>
      </c>
      <c r="C1078" s="8">
        <f t="shared" si="30"/>
        <v>7.9516499999999999</v>
      </c>
      <c r="D1078" s="8">
        <f t="shared" si="30"/>
        <v>7.962600000000001</v>
      </c>
      <c r="E1078" s="8">
        <f t="shared" si="30"/>
        <v>7.9579416666666667</v>
      </c>
      <c r="F1078" s="4">
        <f t="shared" si="30"/>
        <v>8.645108333333333</v>
      </c>
      <c r="G1078" s="8">
        <f t="shared" si="30"/>
        <v>7.8779749999999993</v>
      </c>
      <c r="H1078" s="4">
        <f t="shared" si="30"/>
        <v>8.7905083333333334</v>
      </c>
      <c r="I1078" s="8">
        <f t="shared" si="30"/>
        <v>7.8496583333333341</v>
      </c>
      <c r="J1078" s="4">
        <f t="shared" si="30"/>
        <v>7.7013083333333325</v>
      </c>
      <c r="K1078" s="4"/>
      <c r="L1078" s="5">
        <f t="shared" ref="L1078:Q1078" si="31">SUM(L209:L220)</f>
        <v>355.53689999999995</v>
      </c>
      <c r="M1078" s="5">
        <f t="shared" si="31"/>
        <v>142.0401</v>
      </c>
      <c r="N1078" s="5">
        <f t="shared" si="31"/>
        <v>58.217499999999994</v>
      </c>
      <c r="O1078" s="5">
        <f t="shared" si="31"/>
        <v>4.4046000000000003</v>
      </c>
      <c r="P1078" s="5">
        <f t="shared" si="31"/>
        <v>15.220499999999998</v>
      </c>
      <c r="Q1078" s="5">
        <f t="shared" si="31"/>
        <v>368.9276999999999</v>
      </c>
      <c r="R1078" s="5"/>
      <c r="S1078" s="4"/>
    </row>
    <row r="1079" spans="1:19" ht="15" customHeight="1">
      <c r="A1079" s="3">
        <v>2031</v>
      </c>
      <c r="B1079" s="8">
        <f t="shared" ref="B1079:J1079" si="32">AVERAGE(B221:B232)</f>
        <v>8.1360250000000001</v>
      </c>
      <c r="C1079" s="8">
        <f t="shared" si="32"/>
        <v>8.1422916666666669</v>
      </c>
      <c r="D1079" s="8">
        <f t="shared" si="32"/>
        <v>8.1532166666666672</v>
      </c>
      <c r="E1079" s="8">
        <f t="shared" si="32"/>
        <v>8.1485833333333328</v>
      </c>
      <c r="F1079" s="4">
        <f t="shared" si="32"/>
        <v>8.8357500000000027</v>
      </c>
      <c r="G1079" s="8">
        <f t="shared" si="32"/>
        <v>8.066374999999999</v>
      </c>
      <c r="H1079" s="4">
        <f t="shared" si="32"/>
        <v>8.9789166666666649</v>
      </c>
      <c r="I1079" s="8">
        <f t="shared" si="32"/>
        <v>8.0347583333333308</v>
      </c>
      <c r="J1079" s="4">
        <f t="shared" si="32"/>
        <v>7.8863000000000012</v>
      </c>
      <c r="K1079" s="4"/>
      <c r="L1079" s="5">
        <f t="shared" ref="L1079:Q1079" si="33">SUM(L221:L232)</f>
        <v>355.53689999999995</v>
      </c>
      <c r="M1079" s="5">
        <f t="shared" si="33"/>
        <v>142.0401</v>
      </c>
      <c r="N1079" s="5">
        <f t="shared" si="33"/>
        <v>58.217499999999994</v>
      </c>
      <c r="O1079" s="5">
        <f t="shared" si="33"/>
        <v>4.4046000000000003</v>
      </c>
      <c r="P1079" s="5">
        <f t="shared" si="33"/>
        <v>15.220499999999998</v>
      </c>
      <c r="Q1079" s="5">
        <f t="shared" si="33"/>
        <v>365.31420000000003</v>
      </c>
      <c r="R1079" s="5"/>
      <c r="S1079" s="4"/>
    </row>
    <row r="1080" spans="1:19" ht="15" customHeight="1">
      <c r="A1080" s="3">
        <v>2032</v>
      </c>
      <c r="B1080" s="8">
        <f t="shared" ref="B1080:J1080" si="34">AVERAGE(B233:B244)</f>
        <v>8.3312416666666671</v>
      </c>
      <c r="C1080" s="8">
        <f t="shared" si="34"/>
        <v>8.3374999999999986</v>
      </c>
      <c r="D1080" s="8">
        <f t="shared" si="34"/>
        <v>8.3484416666666679</v>
      </c>
      <c r="E1080" s="8">
        <f t="shared" si="34"/>
        <v>8.343791666666668</v>
      </c>
      <c r="F1080" s="4">
        <f t="shared" si="34"/>
        <v>9.0309583333333325</v>
      </c>
      <c r="G1080" s="8">
        <f t="shared" si="34"/>
        <v>8.259308333333335</v>
      </c>
      <c r="H1080" s="4">
        <f t="shared" si="34"/>
        <v>9.1718333333333337</v>
      </c>
      <c r="I1080" s="8">
        <f t="shared" si="34"/>
        <v>8.2243083333333331</v>
      </c>
      <c r="J1080" s="4">
        <f t="shared" si="34"/>
        <v>8.0757583333333347</v>
      </c>
      <c r="K1080" s="4"/>
      <c r="L1080" s="5">
        <f t="shared" ref="L1080:Q1080" si="35">SUM(L233:L244)</f>
        <v>356.48229999999995</v>
      </c>
      <c r="M1080" s="5">
        <f t="shared" si="35"/>
        <v>142.42920000000001</v>
      </c>
      <c r="N1080" s="5">
        <f t="shared" si="35"/>
        <v>58.377000000000002</v>
      </c>
      <c r="O1080" s="5">
        <f t="shared" si="35"/>
        <v>4.4165999999999999</v>
      </c>
      <c r="P1080" s="5">
        <f t="shared" si="35"/>
        <v>15.262199999999998</v>
      </c>
      <c r="Q1080" s="5">
        <f t="shared" si="35"/>
        <v>364.46999999999997</v>
      </c>
      <c r="R1080" s="5"/>
      <c r="S1080" s="4"/>
    </row>
    <row r="1081" spans="1:19" ht="15" customHeight="1">
      <c r="A1081" s="3">
        <v>2033</v>
      </c>
      <c r="B1081" s="8">
        <f t="shared" ref="B1081:J1081" si="36">AVERAGE(B245:B256)</f>
        <v>8.5311583333333321</v>
      </c>
      <c r="C1081" s="8">
        <f t="shared" si="36"/>
        <v>8.5374166666666671</v>
      </c>
      <c r="D1081" s="8">
        <f t="shared" si="36"/>
        <v>8.5483583333333346</v>
      </c>
      <c r="E1081" s="8">
        <f t="shared" si="36"/>
        <v>8.543708333333333</v>
      </c>
      <c r="F1081" s="4">
        <f t="shared" si="36"/>
        <v>9.2308583333333338</v>
      </c>
      <c r="G1081" s="8">
        <f t="shared" si="36"/>
        <v>8.456883333333332</v>
      </c>
      <c r="H1081" s="4">
        <f t="shared" si="36"/>
        <v>9.3694000000000006</v>
      </c>
      <c r="I1081" s="8">
        <f t="shared" si="36"/>
        <v>8.4184083333333337</v>
      </c>
      <c r="J1081" s="4">
        <f t="shared" si="36"/>
        <v>8.2697749999999992</v>
      </c>
      <c r="K1081" s="4"/>
      <c r="L1081" s="5">
        <f t="shared" ref="L1081:Q1081" si="37">SUM(L245:L256)</f>
        <v>355.53689999999995</v>
      </c>
      <c r="M1081" s="5">
        <f t="shared" si="37"/>
        <v>142.0401</v>
      </c>
      <c r="N1081" s="5">
        <f t="shared" si="37"/>
        <v>58.217499999999994</v>
      </c>
      <c r="O1081" s="5">
        <f t="shared" si="37"/>
        <v>4.4046000000000003</v>
      </c>
      <c r="P1081" s="5">
        <f t="shared" si="37"/>
        <v>15.220499999999998</v>
      </c>
      <c r="Q1081" s="5">
        <f t="shared" si="37"/>
        <v>362.33550000000002</v>
      </c>
      <c r="R1081" s="5"/>
      <c r="S1081" s="4"/>
    </row>
    <row r="1082" spans="1:19" ht="15" customHeight="1">
      <c r="A1082" s="3">
        <v>2034</v>
      </c>
      <c r="B1082" s="8">
        <f t="shared" ref="B1082:J1082" si="38">AVERAGE(B257:B268)</f>
        <v>8.7358583333333346</v>
      </c>
      <c r="C1082" s="8">
        <f t="shared" si="38"/>
        <v>8.7421249999999997</v>
      </c>
      <c r="D1082" s="8">
        <f t="shared" si="38"/>
        <v>8.7530583333333336</v>
      </c>
      <c r="E1082" s="8">
        <f t="shared" si="38"/>
        <v>8.7484166666666656</v>
      </c>
      <c r="F1082" s="4">
        <f t="shared" si="38"/>
        <v>9.4355833333333354</v>
      </c>
      <c r="G1082" s="8">
        <f t="shared" si="38"/>
        <v>8.6591999999999985</v>
      </c>
      <c r="H1082" s="4">
        <f t="shared" si="38"/>
        <v>9.5717166666666689</v>
      </c>
      <c r="I1082" s="8">
        <f t="shared" si="38"/>
        <v>8.6171750000000014</v>
      </c>
      <c r="J1082" s="4">
        <f t="shared" si="38"/>
        <v>8.4684499999999989</v>
      </c>
      <c r="K1082" s="4"/>
      <c r="L1082" s="5">
        <f t="shared" ref="L1082:Q1082" si="39">SUM(L257:L268)</f>
        <v>355.53689999999995</v>
      </c>
      <c r="M1082" s="5">
        <f t="shared" si="39"/>
        <v>142.0401</v>
      </c>
      <c r="N1082" s="5">
        <f t="shared" si="39"/>
        <v>58.217499999999994</v>
      </c>
      <c r="O1082" s="5">
        <f t="shared" si="39"/>
        <v>4.4046000000000003</v>
      </c>
      <c r="P1082" s="5">
        <f t="shared" si="39"/>
        <v>15.220499999999998</v>
      </c>
      <c r="Q1082" s="5">
        <f t="shared" si="39"/>
        <v>361.59120000000007</v>
      </c>
      <c r="R1082" s="5"/>
      <c r="S1082" s="4"/>
    </row>
    <row r="1083" spans="1:19" ht="15" customHeight="1">
      <c r="A1083" s="3">
        <v>2035</v>
      </c>
      <c r="B1083" s="8">
        <f t="shared" ref="B1083:J1083" si="40">AVERAGE(B269:B280)</f>
        <v>8.9454833333333337</v>
      </c>
      <c r="C1083" s="8">
        <f t="shared" si="40"/>
        <v>8.9517499999999988</v>
      </c>
      <c r="D1083" s="8">
        <f t="shared" si="40"/>
        <v>8.9627083333333335</v>
      </c>
      <c r="E1083" s="8">
        <f t="shared" si="40"/>
        <v>8.9580583333333319</v>
      </c>
      <c r="F1083" s="4">
        <f t="shared" si="40"/>
        <v>9.6451999999999991</v>
      </c>
      <c r="G1083" s="8">
        <f t="shared" si="40"/>
        <v>8.8663499999999988</v>
      </c>
      <c r="H1083" s="4">
        <f t="shared" si="40"/>
        <v>9.7788916666666665</v>
      </c>
      <c r="I1083" s="8">
        <f t="shared" si="40"/>
        <v>8.8207416666666649</v>
      </c>
      <c r="J1083" s="4">
        <f t="shared" si="40"/>
        <v>8.6718916666666654</v>
      </c>
      <c r="K1083" s="4"/>
      <c r="L1083" s="5">
        <f t="shared" ref="L1083:Q1083" si="41">SUM(L269:L280)</f>
        <v>355.53689999999995</v>
      </c>
      <c r="M1083" s="5">
        <f t="shared" si="41"/>
        <v>142.0401</v>
      </c>
      <c r="N1083" s="5">
        <f t="shared" si="41"/>
        <v>58.217499999999994</v>
      </c>
      <c r="O1083" s="5">
        <f t="shared" si="41"/>
        <v>4.4046000000000003</v>
      </c>
      <c r="P1083" s="5">
        <f t="shared" si="41"/>
        <v>15.220499999999998</v>
      </c>
      <c r="Q1083" s="5">
        <f t="shared" si="41"/>
        <v>360.82469999999995</v>
      </c>
      <c r="R1083" s="5"/>
      <c r="S1083" s="4"/>
    </row>
    <row r="1084" spans="1:19" ht="15" customHeight="1">
      <c r="A1084" s="3">
        <v>2036</v>
      </c>
      <c r="B1084" s="8">
        <f t="shared" ref="B1084:J1084" si="42">AVERAGE(B281:B292)</f>
        <v>9.160166666666667</v>
      </c>
      <c r="C1084" s="8">
        <f t="shared" si="42"/>
        <v>9.1664249999999985</v>
      </c>
      <c r="D1084" s="8">
        <f t="shared" si="42"/>
        <v>9.1773416666666652</v>
      </c>
      <c r="E1084" s="8">
        <f t="shared" si="42"/>
        <v>9.1727083333333344</v>
      </c>
      <c r="F1084" s="4">
        <f t="shared" si="42"/>
        <v>9.859866666666667</v>
      </c>
      <c r="G1084" s="8">
        <f t="shared" si="42"/>
        <v>9.0785166666666672</v>
      </c>
      <c r="H1084" s="4">
        <f t="shared" si="42"/>
        <v>9.9910416666666659</v>
      </c>
      <c r="I1084" s="8">
        <f t="shared" si="42"/>
        <v>9.0291583333333332</v>
      </c>
      <c r="J1084" s="4">
        <f t="shared" si="42"/>
        <v>8.8802333333333348</v>
      </c>
      <c r="K1084" s="4"/>
      <c r="L1084" s="5">
        <f t="shared" ref="L1084:Q1084" si="43">SUM(L281:L292)</f>
        <v>356.48229999999995</v>
      </c>
      <c r="M1084" s="5">
        <f t="shared" si="43"/>
        <v>142.42920000000001</v>
      </c>
      <c r="N1084" s="5">
        <f t="shared" si="43"/>
        <v>58.377000000000002</v>
      </c>
      <c r="O1084" s="5">
        <f t="shared" si="43"/>
        <v>4.4165999999999999</v>
      </c>
      <c r="P1084" s="5">
        <f t="shared" si="43"/>
        <v>15.262199999999998</v>
      </c>
      <c r="Q1084" s="5">
        <f t="shared" si="43"/>
        <v>361.0446</v>
      </c>
      <c r="R1084" s="5"/>
      <c r="S1084" s="4"/>
    </row>
    <row r="1085" spans="1:19" ht="15" customHeight="1">
      <c r="A1085" s="3">
        <v>2037</v>
      </c>
      <c r="B1085" s="8">
        <f t="shared" ref="B1085:J1085" si="44">AVERAGE(B293:B304)</f>
        <v>9.379975</v>
      </c>
      <c r="C1085" s="8">
        <f t="shared" si="44"/>
        <v>9.3862333333333314</v>
      </c>
      <c r="D1085" s="8">
        <f t="shared" si="44"/>
        <v>9.3971749999999989</v>
      </c>
      <c r="E1085" s="8">
        <f t="shared" si="44"/>
        <v>9.3925333333333345</v>
      </c>
      <c r="F1085" s="4">
        <f t="shared" si="44"/>
        <v>10.079708333333333</v>
      </c>
      <c r="G1085" s="8">
        <f t="shared" si="44"/>
        <v>9.2957666666666672</v>
      </c>
      <c r="H1085" s="4">
        <f t="shared" si="44"/>
        <v>10.208300000000001</v>
      </c>
      <c r="I1085" s="8">
        <f t="shared" si="44"/>
        <v>9.2425999999999995</v>
      </c>
      <c r="J1085" s="4">
        <f t="shared" si="44"/>
        <v>9.0935583333333323</v>
      </c>
      <c r="K1085" s="4"/>
      <c r="L1085" s="5">
        <f t="shared" ref="L1085:Q1085" si="45">SUM(L293:L304)</f>
        <v>355.53689999999995</v>
      </c>
      <c r="M1085" s="5">
        <f t="shared" si="45"/>
        <v>142.0401</v>
      </c>
      <c r="N1085" s="5">
        <f t="shared" si="45"/>
        <v>58.217499999999994</v>
      </c>
      <c r="O1085" s="5">
        <f t="shared" si="45"/>
        <v>4.4046000000000003</v>
      </c>
      <c r="P1085" s="5">
        <f t="shared" si="45"/>
        <v>15.220499999999998</v>
      </c>
      <c r="Q1085" s="5">
        <f t="shared" si="45"/>
        <v>359.29169999999999</v>
      </c>
      <c r="R1085" s="5"/>
      <c r="S1085" s="4"/>
    </row>
    <row r="1086" spans="1:19" ht="15" customHeight="1">
      <c r="A1086" s="3">
        <f t="shared" ref="A1086:A1117" si="46">A1085+1</f>
        <v>2038</v>
      </c>
      <c r="B1086" s="8">
        <f t="shared" ref="B1086:J1086" si="47">AVERAGE(B305:B316)</f>
        <v>9.6050833333333347</v>
      </c>
      <c r="C1086" s="8">
        <f t="shared" si="47"/>
        <v>9.611341666666668</v>
      </c>
      <c r="D1086" s="8">
        <f t="shared" si="47"/>
        <v>9.6222916666666674</v>
      </c>
      <c r="E1086" s="8">
        <f t="shared" si="47"/>
        <v>9.6176416666666675</v>
      </c>
      <c r="F1086" s="4">
        <f t="shared" si="47"/>
        <v>10.304791666666667</v>
      </c>
      <c r="G1086" s="8">
        <f t="shared" si="47"/>
        <v>9.5182333333333329</v>
      </c>
      <c r="H1086" s="4">
        <f t="shared" si="47"/>
        <v>10.430766666666665</v>
      </c>
      <c r="I1086" s="8">
        <f t="shared" si="47"/>
        <v>9.4612083333333334</v>
      </c>
      <c r="J1086" s="4">
        <f t="shared" si="47"/>
        <v>9.3120416666666657</v>
      </c>
      <c r="K1086" s="4"/>
      <c r="L1086" s="5">
        <f t="shared" ref="L1086:Q1086" si="48">SUM(L305:L316)</f>
        <v>355.53689999999995</v>
      </c>
      <c r="M1086" s="5">
        <f t="shared" si="48"/>
        <v>142.0401</v>
      </c>
      <c r="N1086" s="5">
        <f t="shared" si="48"/>
        <v>58.217499999999994</v>
      </c>
      <c r="O1086" s="5">
        <f t="shared" si="48"/>
        <v>4.4046000000000003</v>
      </c>
      <c r="P1086" s="5">
        <f t="shared" si="48"/>
        <v>15.220499999999998</v>
      </c>
      <c r="Q1086" s="5">
        <f t="shared" si="48"/>
        <v>358.54670000000004</v>
      </c>
      <c r="R1086" s="5"/>
      <c r="S1086" s="4"/>
    </row>
    <row r="1087" spans="1:19" ht="15" customHeight="1">
      <c r="A1087" s="3">
        <f t="shared" si="46"/>
        <v>2039</v>
      </c>
      <c r="B1087" s="8">
        <f t="shared" ref="B1087:J1087" si="49">AVERAGE(B317:B328)</f>
        <v>9.835583333333334</v>
      </c>
      <c r="C1087" s="8">
        <f t="shared" si="49"/>
        <v>9.8418500000000009</v>
      </c>
      <c r="D1087" s="8">
        <f t="shared" si="49"/>
        <v>9.8528000000000002</v>
      </c>
      <c r="E1087" s="8">
        <f t="shared" si="49"/>
        <v>9.8481500000000004</v>
      </c>
      <c r="F1087" s="4">
        <f t="shared" si="49"/>
        <v>10.535308333333333</v>
      </c>
      <c r="G1087" s="8">
        <f t="shared" si="49"/>
        <v>9.7460499999999985</v>
      </c>
      <c r="H1087" s="4">
        <f t="shared" si="49"/>
        <v>10.658575000000001</v>
      </c>
      <c r="I1087" s="8">
        <f t="shared" si="49"/>
        <v>9.6850250000000013</v>
      </c>
      <c r="J1087" s="4">
        <f t="shared" si="49"/>
        <v>9.5357500000000002</v>
      </c>
      <c r="K1087" s="7"/>
      <c r="L1087" s="5">
        <f t="shared" ref="L1087:Q1087" si="50">SUM(L317:L328)</f>
        <v>355.53689999999995</v>
      </c>
      <c r="M1087" s="5">
        <f t="shared" si="50"/>
        <v>142.0401</v>
      </c>
      <c r="N1087" s="5">
        <f t="shared" si="50"/>
        <v>58.217499999999994</v>
      </c>
      <c r="O1087" s="5">
        <f t="shared" si="50"/>
        <v>4.4046000000000003</v>
      </c>
      <c r="P1087" s="5">
        <f t="shared" si="50"/>
        <v>15.220499999999998</v>
      </c>
      <c r="Q1087" s="5">
        <f t="shared" si="50"/>
        <v>357.78019999999998</v>
      </c>
      <c r="R1087" s="5"/>
      <c r="S1087" s="6"/>
    </row>
    <row r="1088" spans="1:19" ht="15" customHeight="1">
      <c r="A1088" s="3">
        <f t="shared" si="46"/>
        <v>2040</v>
      </c>
      <c r="B1088" s="8">
        <f t="shared" ref="B1088:J1088" si="51">AVERAGE(B329:B340)</f>
        <v>10.071624999999999</v>
      </c>
      <c r="C1088" s="8">
        <f t="shared" si="51"/>
        <v>10.077908333333333</v>
      </c>
      <c r="D1088" s="8">
        <f t="shared" si="51"/>
        <v>10.088866666666666</v>
      </c>
      <c r="E1088" s="8">
        <f t="shared" si="51"/>
        <v>10.084208333333331</v>
      </c>
      <c r="F1088" s="4">
        <f t="shared" si="51"/>
        <v>10.771374999999999</v>
      </c>
      <c r="G1088" s="8">
        <f t="shared" si="51"/>
        <v>9.9793416666666666</v>
      </c>
      <c r="H1088" s="4">
        <f t="shared" si="51"/>
        <v>10.891866666666667</v>
      </c>
      <c r="I1088" s="8">
        <f t="shared" si="51"/>
        <v>9.9142166666666665</v>
      </c>
      <c r="J1088" s="4">
        <f t="shared" si="51"/>
        <v>9.7648166666666665</v>
      </c>
      <c r="K1088" s="7"/>
      <c r="L1088" s="5">
        <f t="shared" ref="L1088:Q1088" si="52">SUM(L329:L340)</f>
        <v>356.48229999999995</v>
      </c>
      <c r="M1088" s="5">
        <f t="shared" si="52"/>
        <v>142.42920000000001</v>
      </c>
      <c r="N1088" s="5">
        <f t="shared" si="52"/>
        <v>58.377000000000002</v>
      </c>
      <c r="O1088" s="5">
        <f t="shared" si="52"/>
        <v>4.4165999999999999</v>
      </c>
      <c r="P1088" s="5">
        <f t="shared" si="52"/>
        <v>15.262199999999998</v>
      </c>
      <c r="Q1088" s="5">
        <f t="shared" si="52"/>
        <v>357.99180000000001</v>
      </c>
      <c r="R1088" s="5"/>
      <c r="S1088" s="6"/>
    </row>
    <row r="1089" spans="1:19" ht="15" customHeight="1">
      <c r="A1089" s="3">
        <f t="shared" si="46"/>
        <v>2041</v>
      </c>
      <c r="B1089" s="8">
        <f t="shared" ref="B1089:J1089" si="53">AVERAGE(B341:B352)</f>
        <v>10.313358333333333</v>
      </c>
      <c r="C1089" s="8">
        <f t="shared" si="53"/>
        <v>10.319624999999997</v>
      </c>
      <c r="D1089" s="8">
        <f t="shared" si="53"/>
        <v>10.330575000000001</v>
      </c>
      <c r="E1089" s="8">
        <f t="shared" si="53"/>
        <v>10.325916666666668</v>
      </c>
      <c r="F1089" s="4">
        <f t="shared" si="53"/>
        <v>11.013083333333334</v>
      </c>
      <c r="G1089" s="8">
        <f t="shared" si="53"/>
        <v>10.218233333333334</v>
      </c>
      <c r="H1089" s="4">
        <f t="shared" si="53"/>
        <v>11.130749999999999</v>
      </c>
      <c r="I1089" s="8">
        <f t="shared" si="53"/>
        <v>10.148925</v>
      </c>
      <c r="J1089" s="4">
        <f t="shared" si="53"/>
        <v>9.9994250000000005</v>
      </c>
      <c r="K1089" s="7"/>
      <c r="L1089" s="5">
        <f t="shared" ref="L1089:Q1089" si="54">SUM(L341:L352)</f>
        <v>355.53689999999995</v>
      </c>
      <c r="M1089" s="5">
        <f t="shared" si="54"/>
        <v>142.0401</v>
      </c>
      <c r="N1089" s="5">
        <f t="shared" si="54"/>
        <v>58.217499999999994</v>
      </c>
      <c r="O1089" s="5">
        <f t="shared" si="54"/>
        <v>4.4046000000000003</v>
      </c>
      <c r="P1089" s="5">
        <f t="shared" si="54"/>
        <v>15.220499999999998</v>
      </c>
      <c r="Q1089" s="5">
        <f t="shared" si="54"/>
        <v>356.26930000000004</v>
      </c>
      <c r="R1089" s="5"/>
      <c r="S1089" s="6"/>
    </row>
    <row r="1090" spans="1:19" ht="15" customHeight="1">
      <c r="A1090" s="3">
        <f t="shared" si="46"/>
        <v>2042</v>
      </c>
      <c r="B1090" s="8">
        <f t="shared" ref="B1090:J1090" si="55">AVERAGE(B353:B364)</f>
        <v>10.560891666666668</v>
      </c>
      <c r="C1090" s="8">
        <f t="shared" si="55"/>
        <v>10.567166666666667</v>
      </c>
      <c r="D1090" s="8">
        <f t="shared" si="55"/>
        <v>10.578108333333335</v>
      </c>
      <c r="E1090" s="8">
        <f t="shared" si="55"/>
        <v>10.573458333333333</v>
      </c>
      <c r="F1090" s="4">
        <f t="shared" si="55"/>
        <v>11.260624999999999</v>
      </c>
      <c r="G1090" s="8">
        <f t="shared" si="55"/>
        <v>10.462858333333335</v>
      </c>
      <c r="H1090" s="4">
        <f t="shared" si="55"/>
        <v>11.375391666666667</v>
      </c>
      <c r="I1090" s="8">
        <f t="shared" si="55"/>
        <v>10.389266666666666</v>
      </c>
      <c r="J1090" s="4">
        <f t="shared" si="55"/>
        <v>10.239641666666666</v>
      </c>
      <c r="K1090" s="7"/>
      <c r="L1090" s="5">
        <f t="shared" ref="L1090:Q1090" si="56">SUM(L353:L364)</f>
        <v>355.53689999999995</v>
      </c>
      <c r="M1090" s="5">
        <f t="shared" si="56"/>
        <v>142.0401</v>
      </c>
      <c r="N1090" s="5">
        <f t="shared" si="56"/>
        <v>58.217499999999994</v>
      </c>
      <c r="O1090" s="5">
        <f t="shared" si="56"/>
        <v>4.4046000000000003</v>
      </c>
      <c r="P1090" s="5">
        <f t="shared" si="56"/>
        <v>15.220499999999998</v>
      </c>
      <c r="Q1090" s="5">
        <f t="shared" si="56"/>
        <v>242.47669999999997</v>
      </c>
      <c r="R1090" s="5"/>
      <c r="S1090" s="6"/>
    </row>
    <row r="1091" spans="1:19" ht="15" customHeight="1">
      <c r="A1091" s="3">
        <f t="shared" si="46"/>
        <v>2043</v>
      </c>
      <c r="B1091" s="8">
        <f t="shared" ref="B1091:J1091" si="57">AVERAGE(B365:B376)</f>
        <v>10.814391666666667</v>
      </c>
      <c r="C1091" s="8">
        <f t="shared" si="57"/>
        <v>10.820633333333335</v>
      </c>
      <c r="D1091" s="8">
        <f t="shared" si="57"/>
        <v>10.831583333333334</v>
      </c>
      <c r="E1091" s="8">
        <f t="shared" si="57"/>
        <v>10.826941666666665</v>
      </c>
      <c r="F1091" s="4">
        <f t="shared" si="57"/>
        <v>11.514100000000001</v>
      </c>
      <c r="G1091" s="8">
        <f t="shared" si="57"/>
        <v>10.713374999999999</v>
      </c>
      <c r="H1091" s="4">
        <f t="shared" si="57"/>
        <v>11.625908333333333</v>
      </c>
      <c r="I1091" s="8">
        <f t="shared" si="57"/>
        <v>10.635408333333332</v>
      </c>
      <c r="J1091" s="4">
        <f t="shared" si="57"/>
        <v>10.48565</v>
      </c>
      <c r="K1091" s="7"/>
      <c r="L1091" s="5">
        <f t="shared" ref="L1091:Q1091" si="58">SUM(L365:L376)</f>
        <v>355.53689999999995</v>
      </c>
      <c r="M1091" s="5">
        <f t="shared" si="58"/>
        <v>142.0401</v>
      </c>
      <c r="N1091" s="5">
        <f t="shared" si="58"/>
        <v>58.217499999999994</v>
      </c>
      <c r="O1091" s="5">
        <f t="shared" si="58"/>
        <v>4.4046000000000003</v>
      </c>
      <c r="P1091" s="5">
        <f t="shared" si="58"/>
        <v>15.220499999999998</v>
      </c>
      <c r="Q1091" s="5">
        <f t="shared" si="58"/>
        <v>241.71019999999996</v>
      </c>
      <c r="R1091" s="5"/>
      <c r="S1091" s="6"/>
    </row>
    <row r="1092" spans="1:19" ht="15" customHeight="1">
      <c r="A1092" s="3">
        <f t="shared" si="46"/>
        <v>2044</v>
      </c>
      <c r="B1092" s="8">
        <f t="shared" ref="B1092:J1092" si="59">AVERAGE(B377:B388)</f>
        <v>11.073958333333332</v>
      </c>
      <c r="C1092" s="8">
        <f t="shared" si="59"/>
        <v>11.080224999999999</v>
      </c>
      <c r="D1092" s="8">
        <f t="shared" si="59"/>
        <v>11.091149999999999</v>
      </c>
      <c r="E1092" s="8">
        <f t="shared" si="59"/>
        <v>11.086516666666666</v>
      </c>
      <c r="F1092" s="4">
        <f t="shared" si="59"/>
        <v>11.773674999999999</v>
      </c>
      <c r="G1092" s="8">
        <f t="shared" si="59"/>
        <v>10.969883333333334</v>
      </c>
      <c r="H1092" s="4">
        <f t="shared" si="59"/>
        <v>11.882424999999998</v>
      </c>
      <c r="I1092" s="8">
        <f t="shared" si="59"/>
        <v>10.887433333333332</v>
      </c>
      <c r="J1092" s="4">
        <f t="shared" si="59"/>
        <v>10.737566666666666</v>
      </c>
      <c r="K1092" s="7"/>
      <c r="L1092" s="5">
        <f t="shared" ref="L1092:Q1092" si="60">SUM(L377:L388)</f>
        <v>356.48229999999995</v>
      </c>
      <c r="M1092" s="5">
        <f t="shared" si="60"/>
        <v>142.42920000000001</v>
      </c>
      <c r="N1092" s="5">
        <f t="shared" si="60"/>
        <v>58.377000000000002</v>
      </c>
      <c r="O1092" s="5">
        <f t="shared" si="60"/>
        <v>4.4165999999999999</v>
      </c>
      <c r="P1092" s="5">
        <f t="shared" si="60"/>
        <v>15.262199999999998</v>
      </c>
      <c r="Q1092" s="5">
        <f t="shared" si="60"/>
        <v>241.58220000000006</v>
      </c>
      <c r="R1092" s="5"/>
      <c r="S1092" s="6"/>
    </row>
    <row r="1093" spans="1:19" ht="15" customHeight="1">
      <c r="A1093" s="3">
        <f t="shared" si="46"/>
        <v>2045</v>
      </c>
      <c r="B1093" s="8">
        <f t="shared" ref="B1093:J1093" si="61">AVERAGE(B389:B400)</f>
        <v>11.339766666666668</v>
      </c>
      <c r="C1093" s="8">
        <f t="shared" si="61"/>
        <v>11.346016666666666</v>
      </c>
      <c r="D1093" s="8">
        <f t="shared" si="61"/>
        <v>11.356966666666667</v>
      </c>
      <c r="E1093" s="8">
        <f t="shared" si="61"/>
        <v>11.352316666666667</v>
      </c>
      <c r="F1093" s="4">
        <f t="shared" si="61"/>
        <v>12.039475000000001</v>
      </c>
      <c r="G1093" s="8">
        <f t="shared" si="61"/>
        <v>11.23259166666667</v>
      </c>
      <c r="H1093" s="4">
        <f t="shared" si="61"/>
        <v>12.145133333333334</v>
      </c>
      <c r="I1093" s="8">
        <f t="shared" si="61"/>
        <v>11.14555</v>
      </c>
      <c r="J1093" s="4">
        <f t="shared" si="61"/>
        <v>10.995533333333334</v>
      </c>
      <c r="K1093" s="7"/>
      <c r="L1093" s="5">
        <f t="shared" ref="L1093:Q1093" si="62">SUM(L389:L400)</f>
        <v>355.53689999999995</v>
      </c>
      <c r="M1093" s="5">
        <f t="shared" si="62"/>
        <v>142.0401</v>
      </c>
      <c r="N1093" s="5">
        <f t="shared" si="62"/>
        <v>58.217499999999994</v>
      </c>
      <c r="O1093" s="5">
        <f t="shared" si="62"/>
        <v>4.4046000000000003</v>
      </c>
      <c r="P1093" s="5">
        <f t="shared" si="62"/>
        <v>15.220499999999998</v>
      </c>
      <c r="Q1093" s="5">
        <f t="shared" si="62"/>
        <v>240.15570000000002</v>
      </c>
      <c r="R1093" s="5"/>
      <c r="S1093" s="6"/>
    </row>
    <row r="1094" spans="1:19" ht="15" customHeight="1">
      <c r="A1094" s="3">
        <f t="shared" si="46"/>
        <v>2046</v>
      </c>
      <c r="B1094" s="8">
        <f t="shared" ref="B1094:J1094" si="63">AVERAGE(B401:B412)</f>
        <v>11.61195</v>
      </c>
      <c r="C1094" s="8">
        <f t="shared" si="63"/>
        <v>11.618225000000001</v>
      </c>
      <c r="D1094" s="8">
        <f t="shared" si="63"/>
        <v>11.629150000000001</v>
      </c>
      <c r="E1094" s="8">
        <f t="shared" si="63"/>
        <v>11.624508333333333</v>
      </c>
      <c r="F1094" s="4">
        <f t="shared" si="63"/>
        <v>12.311666666666667</v>
      </c>
      <c r="G1094" s="8">
        <f t="shared" si="63"/>
        <v>11.501600000000002</v>
      </c>
      <c r="H1094" s="4">
        <f t="shared" si="63"/>
        <v>12.414133333333334</v>
      </c>
      <c r="I1094" s="8">
        <f t="shared" si="63"/>
        <v>11.409833333333331</v>
      </c>
      <c r="J1094" s="4">
        <f t="shared" si="63"/>
        <v>11.259691666666669</v>
      </c>
      <c r="K1094" s="7"/>
      <c r="L1094" s="5">
        <f t="shared" ref="L1094:Q1094" si="64">SUM(L401:L412)</f>
        <v>355.53689999999995</v>
      </c>
      <c r="M1094" s="5">
        <f t="shared" si="64"/>
        <v>142.0401</v>
      </c>
      <c r="N1094" s="5">
        <f t="shared" si="64"/>
        <v>58.217499999999994</v>
      </c>
      <c r="O1094" s="5">
        <f t="shared" si="64"/>
        <v>4.4046000000000003</v>
      </c>
      <c r="P1094" s="5">
        <f t="shared" si="64"/>
        <v>15.220499999999998</v>
      </c>
      <c r="Q1094" s="5">
        <f t="shared" si="64"/>
        <v>239.38920000000005</v>
      </c>
      <c r="R1094" s="5"/>
      <c r="S1094" s="6"/>
    </row>
    <row r="1095" spans="1:19" ht="15" customHeight="1">
      <c r="A1095" s="3">
        <f t="shared" si="46"/>
        <v>2047</v>
      </c>
      <c r="B1095" s="8">
        <f t="shared" ref="B1095:J1095" si="65">AVERAGE(B413:B424)</f>
        <v>11.890691666666667</v>
      </c>
      <c r="C1095" s="8">
        <f t="shared" si="65"/>
        <v>11.896941666666669</v>
      </c>
      <c r="D1095" s="8">
        <f t="shared" si="65"/>
        <v>11.907891666666666</v>
      </c>
      <c r="E1095" s="8">
        <f t="shared" si="65"/>
        <v>11.903233333333333</v>
      </c>
      <c r="F1095" s="4">
        <f t="shared" si="65"/>
        <v>12.590400000000001</v>
      </c>
      <c r="G1095" s="8">
        <f t="shared" si="65"/>
        <v>11.777066666666668</v>
      </c>
      <c r="H1095" s="4">
        <f t="shared" si="65"/>
        <v>12.689599999999999</v>
      </c>
      <c r="I1095" s="8">
        <f t="shared" si="65"/>
        <v>11.680483333333333</v>
      </c>
      <c r="J1095" s="4">
        <f t="shared" si="65"/>
        <v>11.530225</v>
      </c>
      <c r="K1095" s="7"/>
      <c r="L1095" s="5">
        <f t="shared" ref="L1095:Q1095" si="66">SUM(L413:L424)</f>
        <v>355.53689999999995</v>
      </c>
      <c r="M1095" s="5">
        <f t="shared" si="66"/>
        <v>142.0401</v>
      </c>
      <c r="N1095" s="5">
        <f t="shared" si="66"/>
        <v>58.217499999999994</v>
      </c>
      <c r="O1095" s="5">
        <f t="shared" si="66"/>
        <v>4.4046000000000003</v>
      </c>
      <c r="P1095" s="5">
        <f t="shared" si="66"/>
        <v>15.220499999999998</v>
      </c>
      <c r="Q1095" s="5">
        <f t="shared" si="66"/>
        <v>238.62270000000004</v>
      </c>
      <c r="R1095" s="5"/>
      <c r="S1095" s="6"/>
    </row>
    <row r="1096" spans="1:19" ht="15" customHeight="1">
      <c r="A1096" s="3">
        <f t="shared" si="46"/>
        <v>2048</v>
      </c>
      <c r="B1096" s="8">
        <f t="shared" ref="B1096:J1096" si="67">AVERAGE(B425:B436)</f>
        <v>12.176116666666667</v>
      </c>
      <c r="C1096" s="8">
        <f t="shared" si="67"/>
        <v>12.182383333333334</v>
      </c>
      <c r="D1096" s="8">
        <f t="shared" si="67"/>
        <v>12.193325000000002</v>
      </c>
      <c r="E1096" s="8">
        <f t="shared" si="67"/>
        <v>12.188666666666668</v>
      </c>
      <c r="F1096" s="4">
        <f t="shared" si="67"/>
        <v>12.875824999999999</v>
      </c>
      <c r="G1096" s="8">
        <f t="shared" si="67"/>
        <v>12.059158333333334</v>
      </c>
      <c r="H1096" s="4">
        <f t="shared" si="67"/>
        <v>12.971708333333332</v>
      </c>
      <c r="I1096" s="8">
        <f t="shared" si="67"/>
        <v>11.957641666666666</v>
      </c>
      <c r="J1096" s="4">
        <f t="shared" si="67"/>
        <v>11.807224999999997</v>
      </c>
      <c r="K1096" s="7"/>
      <c r="L1096" s="5">
        <f t="shared" ref="L1096:Q1096" si="68">SUM(L425:L436)</f>
        <v>356.48229999999995</v>
      </c>
      <c r="M1096" s="5">
        <f t="shared" si="68"/>
        <v>142.42920000000001</v>
      </c>
      <c r="N1096" s="5">
        <f t="shared" si="68"/>
        <v>58.377000000000002</v>
      </c>
      <c r="O1096" s="5">
        <f t="shared" si="68"/>
        <v>4.4165999999999999</v>
      </c>
      <c r="P1096" s="5">
        <f t="shared" si="68"/>
        <v>15.262199999999998</v>
      </c>
      <c r="Q1096" s="5">
        <f t="shared" si="68"/>
        <v>238.50780000000003</v>
      </c>
      <c r="R1096" s="5"/>
      <c r="S1096" s="6"/>
    </row>
    <row r="1097" spans="1:19" ht="15" customHeight="1">
      <c r="A1097" s="3">
        <f t="shared" si="46"/>
        <v>2049</v>
      </c>
      <c r="B1097" s="8">
        <f t="shared" ref="B1097:J1097" si="69">AVERAGE(B437:B448)</f>
        <v>12.468408333333334</v>
      </c>
      <c r="C1097" s="8">
        <f t="shared" si="69"/>
        <v>12.474666666666666</v>
      </c>
      <c r="D1097" s="8">
        <f t="shared" si="69"/>
        <v>12.485616666666665</v>
      </c>
      <c r="E1097" s="8">
        <f t="shared" si="69"/>
        <v>12.480966666666667</v>
      </c>
      <c r="F1097" s="4">
        <f t="shared" si="69"/>
        <v>13.16813333333333</v>
      </c>
      <c r="G1097" s="8">
        <f t="shared" si="69"/>
        <v>12.348024999999998</v>
      </c>
      <c r="H1097" s="4">
        <f t="shared" si="69"/>
        <v>13.260541666666668</v>
      </c>
      <c r="I1097" s="8">
        <f t="shared" si="69"/>
        <v>12.241433333333333</v>
      </c>
      <c r="J1097" s="4">
        <f t="shared" si="69"/>
        <v>12.090883333333332</v>
      </c>
      <c r="K1097" s="7"/>
      <c r="L1097" s="5">
        <f t="shared" ref="L1097:Q1097" si="70">SUM(L437:L448)</f>
        <v>355.53689999999995</v>
      </c>
      <c r="M1097" s="5">
        <f t="shared" si="70"/>
        <v>142.0401</v>
      </c>
      <c r="N1097" s="5">
        <f t="shared" si="70"/>
        <v>58.217499999999994</v>
      </c>
      <c r="O1097" s="5">
        <f t="shared" si="70"/>
        <v>4.4046000000000003</v>
      </c>
      <c r="P1097" s="5">
        <f t="shared" si="70"/>
        <v>15.220499999999998</v>
      </c>
      <c r="Q1097" s="5">
        <f t="shared" si="70"/>
        <v>237.08969999999999</v>
      </c>
      <c r="R1097" s="5"/>
      <c r="S1097" s="6"/>
    </row>
    <row r="1098" spans="1:19" ht="15" customHeight="1">
      <c r="A1098" s="3">
        <f t="shared" si="46"/>
        <v>2050</v>
      </c>
      <c r="B1098" s="8">
        <f t="shared" ref="B1098:J1098" si="71">AVERAGE(B449:B460)</f>
        <v>12.767724999999999</v>
      </c>
      <c r="C1098" s="8">
        <f t="shared" si="71"/>
        <v>12.773983333333334</v>
      </c>
      <c r="D1098" s="8">
        <f t="shared" si="71"/>
        <v>12.784925000000001</v>
      </c>
      <c r="E1098" s="8">
        <f t="shared" si="71"/>
        <v>12.780275000000003</v>
      </c>
      <c r="F1098" s="4">
        <f t="shared" si="71"/>
        <v>13.467425</v>
      </c>
      <c r="G1098" s="8">
        <f t="shared" si="71"/>
        <v>12.643833333333333</v>
      </c>
      <c r="H1098" s="4">
        <f t="shared" si="71"/>
        <v>13.556366666666667</v>
      </c>
      <c r="I1098" s="8">
        <f t="shared" si="71"/>
        <v>12.532058333333334</v>
      </c>
      <c r="J1098" s="4">
        <f t="shared" si="71"/>
        <v>12.381374999999998</v>
      </c>
      <c r="K1098" s="7"/>
      <c r="L1098" s="5">
        <f t="shared" ref="L1098:Q1098" si="72">SUM(L449:L460)</f>
        <v>355.53689999999995</v>
      </c>
      <c r="M1098" s="5">
        <f t="shared" si="72"/>
        <v>142.0401</v>
      </c>
      <c r="N1098" s="5">
        <f t="shared" si="72"/>
        <v>58.217499999999994</v>
      </c>
      <c r="O1098" s="5">
        <f t="shared" si="72"/>
        <v>4.4046000000000003</v>
      </c>
      <c r="P1098" s="5">
        <f t="shared" si="72"/>
        <v>15.220499999999998</v>
      </c>
      <c r="Q1098" s="5">
        <f t="shared" si="72"/>
        <v>236.32320000000004</v>
      </c>
      <c r="R1098" s="5"/>
      <c r="S1098" s="6"/>
    </row>
    <row r="1099" spans="1:19" ht="15" customHeight="1">
      <c r="A1099" s="3">
        <f t="shared" si="46"/>
        <v>2051</v>
      </c>
      <c r="B1099" s="8">
        <f t="shared" ref="B1099:J1099" si="73">AVERAGE(B461:B472)</f>
        <v>13.074225</v>
      </c>
      <c r="C1099" s="8">
        <f t="shared" si="73"/>
        <v>13.080475</v>
      </c>
      <c r="D1099" s="8">
        <f t="shared" si="73"/>
        <v>13.091416666666669</v>
      </c>
      <c r="E1099" s="8">
        <f t="shared" si="73"/>
        <v>13.08675833333333</v>
      </c>
      <c r="F1099" s="4">
        <f t="shared" si="73"/>
        <v>13.773941666666667</v>
      </c>
      <c r="G1099" s="8">
        <f t="shared" si="73"/>
        <v>12.946741666666666</v>
      </c>
      <c r="H1099" s="4">
        <f t="shared" si="73"/>
        <v>13.859274999999998</v>
      </c>
      <c r="I1099" s="8">
        <f t="shared" si="73"/>
        <v>12.829658333333333</v>
      </c>
      <c r="J1099" s="4">
        <f t="shared" si="73"/>
        <v>12.678833333333332</v>
      </c>
      <c r="K1099" s="7"/>
      <c r="L1099" s="5">
        <f t="shared" ref="L1099:Q1099" si="74">SUM(L461:L472)</f>
        <v>355.53689999999995</v>
      </c>
      <c r="M1099" s="5">
        <f t="shared" si="74"/>
        <v>142.0401</v>
      </c>
      <c r="N1099" s="5">
        <f t="shared" si="74"/>
        <v>58.217499999999994</v>
      </c>
      <c r="O1099" s="5">
        <f t="shared" si="74"/>
        <v>4.4046000000000003</v>
      </c>
      <c r="P1099" s="5">
        <f t="shared" si="74"/>
        <v>15.220499999999998</v>
      </c>
      <c r="Q1099" s="5">
        <f t="shared" si="74"/>
        <v>235.57820000000007</v>
      </c>
      <c r="R1099" s="5"/>
      <c r="S1099" s="6"/>
    </row>
    <row r="1100" spans="1:19" ht="15" customHeight="1">
      <c r="A1100" s="3">
        <f t="shared" si="46"/>
        <v>2052</v>
      </c>
      <c r="B1100" s="8">
        <f t="shared" ref="B1100:J1100" si="75">AVERAGE(B473:B484)</f>
        <v>13.3881</v>
      </c>
      <c r="C1100" s="8">
        <f t="shared" si="75"/>
        <v>13.394341666666664</v>
      </c>
      <c r="D1100" s="8">
        <f t="shared" si="75"/>
        <v>13.405275000000001</v>
      </c>
      <c r="E1100" s="8">
        <f t="shared" si="75"/>
        <v>13.400650000000001</v>
      </c>
      <c r="F1100" s="4">
        <f t="shared" si="75"/>
        <v>14.087808333333333</v>
      </c>
      <c r="G1100" s="8">
        <f t="shared" si="75"/>
        <v>13.256941666666668</v>
      </c>
      <c r="H1100" s="4">
        <f t="shared" si="75"/>
        <v>14.169458333333333</v>
      </c>
      <c r="I1100" s="8">
        <f t="shared" si="75"/>
        <v>13.134433333333334</v>
      </c>
      <c r="J1100" s="4">
        <f t="shared" si="75"/>
        <v>12.983424999999999</v>
      </c>
      <c r="K1100" s="7"/>
      <c r="L1100" s="5">
        <f t="shared" ref="L1100:Q1100" si="76">SUM(L473:L484)</f>
        <v>356.48229999999995</v>
      </c>
      <c r="M1100" s="5">
        <f t="shared" si="76"/>
        <v>142.42920000000001</v>
      </c>
      <c r="N1100" s="5">
        <f t="shared" si="76"/>
        <v>58.377000000000002</v>
      </c>
      <c r="O1100" s="5">
        <f t="shared" si="76"/>
        <v>4.4165999999999999</v>
      </c>
      <c r="P1100" s="5">
        <f t="shared" si="76"/>
        <v>15.262199999999998</v>
      </c>
      <c r="Q1100" s="5">
        <f t="shared" si="76"/>
        <v>235.45500000000004</v>
      </c>
      <c r="R1100" s="5"/>
      <c r="S1100" s="6"/>
    </row>
    <row r="1101" spans="1:19" ht="15" customHeight="1">
      <c r="A1101" s="3">
        <f t="shared" si="46"/>
        <v>2053</v>
      </c>
      <c r="B1101" s="8">
        <f t="shared" ref="B1101:J1101" si="77">AVERAGE(B485:B496)</f>
        <v>13.709500000000004</v>
      </c>
      <c r="C1101" s="8">
        <f t="shared" si="77"/>
        <v>13.715758333333333</v>
      </c>
      <c r="D1101" s="8">
        <f t="shared" si="77"/>
        <v>13.726691666666666</v>
      </c>
      <c r="E1101" s="8">
        <f t="shared" si="77"/>
        <v>13.722049999999998</v>
      </c>
      <c r="F1101" s="4">
        <f t="shared" si="77"/>
        <v>14.409216666666666</v>
      </c>
      <c r="G1101" s="8">
        <f t="shared" si="77"/>
        <v>13.574583333333335</v>
      </c>
      <c r="H1101" s="4">
        <f t="shared" si="77"/>
        <v>14.487116666666667</v>
      </c>
      <c r="I1101" s="8">
        <f t="shared" si="77"/>
        <v>13.446500000000002</v>
      </c>
      <c r="J1101" s="4">
        <f t="shared" si="77"/>
        <v>13.295358333333333</v>
      </c>
      <c r="K1101" s="7"/>
      <c r="L1101" s="5">
        <f t="shared" ref="L1101:Q1101" si="78">SUM(L485:L496)</f>
        <v>355.53689999999995</v>
      </c>
      <c r="M1101" s="5">
        <f t="shared" si="78"/>
        <v>142.0401</v>
      </c>
      <c r="N1101" s="5">
        <f t="shared" si="78"/>
        <v>58.217499999999994</v>
      </c>
      <c r="O1101" s="5">
        <f t="shared" si="78"/>
        <v>4.4046000000000003</v>
      </c>
      <c r="P1101" s="5">
        <f t="shared" si="78"/>
        <v>15.220499999999998</v>
      </c>
      <c r="Q1101" s="5">
        <f t="shared" si="78"/>
        <v>234.04520000000002</v>
      </c>
      <c r="R1101" s="5"/>
      <c r="S1101" s="6"/>
    </row>
    <row r="1102" spans="1:19" ht="15" customHeight="1">
      <c r="A1102" s="3">
        <f t="shared" si="46"/>
        <v>2054</v>
      </c>
      <c r="B1102" s="8">
        <f t="shared" ref="B1102:J1102" si="79">AVERAGE(B497:B508)</f>
        <v>14.038649999999999</v>
      </c>
      <c r="C1102" s="8">
        <f t="shared" si="79"/>
        <v>14.044899999999998</v>
      </c>
      <c r="D1102" s="8">
        <f t="shared" si="79"/>
        <v>14.055833333333331</v>
      </c>
      <c r="E1102" s="8">
        <f t="shared" si="79"/>
        <v>14.051183333333332</v>
      </c>
      <c r="F1102" s="4">
        <f t="shared" si="79"/>
        <v>14.738341666666665</v>
      </c>
      <c r="G1102" s="8">
        <f t="shared" si="79"/>
        <v>13.899866666666663</v>
      </c>
      <c r="H1102" s="4">
        <f t="shared" si="79"/>
        <v>14.812391666666665</v>
      </c>
      <c r="I1102" s="8">
        <f t="shared" si="79"/>
        <v>13.766108333333333</v>
      </c>
      <c r="J1102" s="4">
        <f t="shared" si="79"/>
        <v>13.614791666666669</v>
      </c>
      <c r="K1102" s="7"/>
      <c r="L1102" s="5">
        <f t="shared" ref="L1102:Q1102" si="80">SUM(L497:L508)</f>
        <v>355.53689999999995</v>
      </c>
      <c r="M1102" s="5">
        <f t="shared" si="80"/>
        <v>142.0401</v>
      </c>
      <c r="N1102" s="5">
        <f t="shared" si="80"/>
        <v>58.217499999999994</v>
      </c>
      <c r="O1102" s="5">
        <f t="shared" si="80"/>
        <v>4.4046000000000003</v>
      </c>
      <c r="P1102" s="5">
        <f t="shared" si="80"/>
        <v>15.220499999999998</v>
      </c>
      <c r="Q1102" s="5">
        <f t="shared" si="80"/>
        <v>233.30079999999998</v>
      </c>
      <c r="R1102" s="5"/>
      <c r="S1102" s="6"/>
    </row>
    <row r="1103" spans="1:19" ht="15" customHeight="1">
      <c r="A1103" s="3">
        <f t="shared" si="46"/>
        <v>2055</v>
      </c>
      <c r="B1103" s="8">
        <f t="shared" ref="B1103:J1103" si="81">AVERAGE(B509:B520)</f>
        <v>14.375666666666667</v>
      </c>
      <c r="C1103" s="8">
        <f t="shared" si="81"/>
        <v>14.381941666666668</v>
      </c>
      <c r="D1103" s="8">
        <f t="shared" si="81"/>
        <v>14.392875000000002</v>
      </c>
      <c r="E1103" s="8">
        <f t="shared" si="81"/>
        <v>14.388241666666667</v>
      </c>
      <c r="F1103" s="4">
        <f t="shared" si="81"/>
        <v>15.075391666666668</v>
      </c>
      <c r="G1103" s="8">
        <f t="shared" si="81"/>
        <v>14.232966666666668</v>
      </c>
      <c r="H1103" s="4">
        <f t="shared" si="81"/>
        <v>15.145483333333333</v>
      </c>
      <c r="I1103" s="8">
        <f t="shared" si="81"/>
        <v>14.093358333333333</v>
      </c>
      <c r="J1103" s="4">
        <f t="shared" si="81"/>
        <v>13.941891666666669</v>
      </c>
      <c r="K1103" s="7"/>
      <c r="L1103" s="5">
        <f t="shared" ref="L1103:Q1103" si="82">SUM(L509:L520)</f>
        <v>355.53689999999995</v>
      </c>
      <c r="M1103" s="5">
        <f t="shared" si="82"/>
        <v>142.0401</v>
      </c>
      <c r="N1103" s="5">
        <f t="shared" si="82"/>
        <v>58.217499999999994</v>
      </c>
      <c r="O1103" s="5">
        <f t="shared" si="82"/>
        <v>4.4046000000000003</v>
      </c>
      <c r="P1103" s="5">
        <f t="shared" si="82"/>
        <v>15.220499999999998</v>
      </c>
      <c r="Q1103" s="5">
        <f t="shared" si="82"/>
        <v>232.55579999999998</v>
      </c>
      <c r="R1103" s="5"/>
      <c r="S1103" s="6"/>
    </row>
    <row r="1104" spans="1:19" ht="15" customHeight="1">
      <c r="A1104" s="3">
        <f t="shared" si="46"/>
        <v>2056</v>
      </c>
      <c r="B1104" s="8">
        <f t="shared" ref="B1104:J1104" si="83">AVERAGE(B521:B532)</f>
        <v>14.720808333333336</v>
      </c>
      <c r="C1104" s="8">
        <f t="shared" si="83"/>
        <v>14.727074999999999</v>
      </c>
      <c r="D1104" s="8">
        <f t="shared" si="83"/>
        <v>14.738016666666667</v>
      </c>
      <c r="E1104" s="8">
        <f t="shared" si="83"/>
        <v>14.733358333333335</v>
      </c>
      <c r="F1104" s="4">
        <f t="shared" si="83"/>
        <v>15.420508333333332</v>
      </c>
      <c r="G1104" s="8">
        <f t="shared" si="83"/>
        <v>14.574058333333332</v>
      </c>
      <c r="H1104" s="4">
        <f t="shared" si="83"/>
        <v>15.486574999999997</v>
      </c>
      <c r="I1104" s="8">
        <f t="shared" si="83"/>
        <v>14.428475000000001</v>
      </c>
      <c r="J1104" s="4">
        <f t="shared" si="83"/>
        <v>14.276858333333331</v>
      </c>
      <c r="K1104" s="7"/>
      <c r="L1104" s="5">
        <f t="shared" ref="L1104:Q1104" si="84">SUM(L521:L532)</f>
        <v>356.48229999999995</v>
      </c>
      <c r="M1104" s="5">
        <f t="shared" si="84"/>
        <v>142.42920000000001</v>
      </c>
      <c r="N1104" s="5">
        <f t="shared" si="84"/>
        <v>58.377000000000002</v>
      </c>
      <c r="O1104" s="5">
        <f t="shared" si="84"/>
        <v>4.4165999999999999</v>
      </c>
      <c r="P1104" s="5">
        <f t="shared" si="84"/>
        <v>15.262199999999998</v>
      </c>
      <c r="Q1104" s="5">
        <f t="shared" si="84"/>
        <v>232.44659999999996</v>
      </c>
      <c r="R1104" s="5"/>
      <c r="S1104" s="6"/>
    </row>
    <row r="1105" spans="1:19" ht="15" customHeight="1">
      <c r="A1105" s="3">
        <f t="shared" si="46"/>
        <v>2057</v>
      </c>
      <c r="B1105" s="8">
        <f t="shared" ref="B1105:J1105" si="85">AVERAGE(B533:B544)</f>
        <v>15.074241666666667</v>
      </c>
      <c r="C1105" s="8">
        <f t="shared" si="85"/>
        <v>15.080483333333333</v>
      </c>
      <c r="D1105" s="8">
        <f t="shared" si="85"/>
        <v>15.091441666666668</v>
      </c>
      <c r="E1105" s="8">
        <f t="shared" si="85"/>
        <v>15.086783333333335</v>
      </c>
      <c r="F1105" s="4">
        <f t="shared" si="85"/>
        <v>15.773958333333333</v>
      </c>
      <c r="G1105" s="8">
        <f t="shared" si="85"/>
        <v>14.923333333333337</v>
      </c>
      <c r="H1105" s="4">
        <f t="shared" si="85"/>
        <v>15.835875</v>
      </c>
      <c r="I1105" s="8">
        <f t="shared" si="85"/>
        <v>14.771666666666663</v>
      </c>
      <c r="J1105" s="4">
        <f t="shared" si="85"/>
        <v>14.619841666666664</v>
      </c>
      <c r="K1105" s="7"/>
      <c r="L1105" s="5">
        <f t="shared" ref="L1105:Q1105" si="86">SUM(L533:L544)</f>
        <v>355.53689999999995</v>
      </c>
      <c r="M1105" s="5">
        <f t="shared" si="86"/>
        <v>142.0401</v>
      </c>
      <c r="N1105" s="5">
        <f t="shared" si="86"/>
        <v>58.217499999999994</v>
      </c>
      <c r="O1105" s="5">
        <f t="shared" si="86"/>
        <v>4.4046000000000003</v>
      </c>
      <c r="P1105" s="5">
        <f t="shared" si="86"/>
        <v>15.220499999999998</v>
      </c>
      <c r="Q1105" s="5">
        <f t="shared" si="86"/>
        <v>231.81149999999997</v>
      </c>
      <c r="R1105" s="5"/>
      <c r="S1105" s="6"/>
    </row>
    <row r="1106" spans="1:19" ht="15" customHeight="1">
      <c r="A1106" s="3">
        <f t="shared" si="46"/>
        <v>2058</v>
      </c>
      <c r="B1106" s="8">
        <f t="shared" ref="B1106:J1106" si="87">AVERAGE(B545:B556)</f>
        <v>15.436174999999999</v>
      </c>
      <c r="C1106" s="8">
        <f t="shared" si="87"/>
        <v>15.442416666666666</v>
      </c>
      <c r="D1106" s="8">
        <f t="shared" si="87"/>
        <v>15.453358333333336</v>
      </c>
      <c r="E1106" s="8">
        <f t="shared" si="87"/>
        <v>15.448725000000001</v>
      </c>
      <c r="F1106" s="4">
        <f t="shared" si="87"/>
        <v>16.135891666666666</v>
      </c>
      <c r="G1106" s="8">
        <f t="shared" si="87"/>
        <v>15.281050000000002</v>
      </c>
      <c r="H1106" s="4">
        <f t="shared" si="87"/>
        <v>16.193566666666669</v>
      </c>
      <c r="I1106" s="8">
        <f t="shared" si="87"/>
        <v>15.123083333333335</v>
      </c>
      <c r="J1106" s="4">
        <f t="shared" si="87"/>
        <v>14.9711</v>
      </c>
      <c r="K1106" s="7"/>
      <c r="L1106" s="5">
        <f t="shared" ref="L1106:Q1106" si="88">SUM(L545:L556)</f>
        <v>355.53689999999995</v>
      </c>
      <c r="M1106" s="5">
        <f t="shared" si="88"/>
        <v>142.0401</v>
      </c>
      <c r="N1106" s="5">
        <f t="shared" si="88"/>
        <v>58.217499999999994</v>
      </c>
      <c r="O1106" s="5">
        <f t="shared" si="88"/>
        <v>4.4046000000000003</v>
      </c>
      <c r="P1106" s="5">
        <f t="shared" si="88"/>
        <v>15.220499999999998</v>
      </c>
      <c r="Q1106" s="5">
        <f t="shared" si="88"/>
        <v>231.81149999999997</v>
      </c>
      <c r="R1106" s="5"/>
      <c r="S1106" s="6"/>
    </row>
    <row r="1107" spans="1:19" ht="15" customHeight="1">
      <c r="A1107" s="3">
        <f t="shared" si="46"/>
        <v>2059</v>
      </c>
      <c r="B1107" s="8">
        <f t="shared" ref="B1107:J1107" si="89">AVERAGE(B557:B568)</f>
        <v>15.806791666666664</v>
      </c>
      <c r="C1107" s="8">
        <f t="shared" si="89"/>
        <v>15.813058333333336</v>
      </c>
      <c r="D1107" s="8">
        <f t="shared" si="89"/>
        <v>15.823974999999999</v>
      </c>
      <c r="E1107" s="8">
        <f t="shared" si="89"/>
        <v>15.819333333333333</v>
      </c>
      <c r="F1107" s="4">
        <f t="shared" si="89"/>
        <v>16.506499999999999</v>
      </c>
      <c r="G1107" s="8">
        <f t="shared" si="89"/>
        <v>15.647316666666667</v>
      </c>
      <c r="H1107" s="4">
        <f t="shared" si="89"/>
        <v>16.559841666666667</v>
      </c>
      <c r="I1107" s="8">
        <f t="shared" si="89"/>
        <v>15.482950000000001</v>
      </c>
      <c r="J1107" s="4">
        <f t="shared" si="89"/>
        <v>15.330766666666667</v>
      </c>
      <c r="K1107" s="4"/>
      <c r="L1107" s="5">
        <f>SUM(L557:L568)</f>
        <v>355.53689999999995</v>
      </c>
      <c r="M1107" s="5">
        <f>SUM(M557:M568)</f>
        <v>142.0401</v>
      </c>
      <c r="N1107" s="5">
        <f>SUM(N557:N568)</f>
        <v>58.217499999999994</v>
      </c>
      <c r="O1107" s="5">
        <f>SUM(O546:O557)</f>
        <v>4.4046000000000003</v>
      </c>
      <c r="P1107" s="5">
        <f>SUM(P557:P568)</f>
        <v>15.220499999999998</v>
      </c>
      <c r="Q1107" s="5">
        <f>SUM(Q557:Q568)</f>
        <v>231.81149999999997</v>
      </c>
      <c r="R1107" s="5"/>
      <c r="S1107" s="4"/>
    </row>
    <row r="1108" spans="1:19" ht="15" customHeight="1">
      <c r="A1108" s="3">
        <f t="shared" si="46"/>
        <v>2060</v>
      </c>
      <c r="B1108" s="8">
        <f t="shared" ref="B1108:J1108" si="90">AVERAGE(B569:B580)</f>
        <v>16.186316666666666</v>
      </c>
      <c r="C1108" s="8">
        <f t="shared" si="90"/>
        <v>16.192575000000001</v>
      </c>
      <c r="D1108" s="8">
        <f t="shared" si="90"/>
        <v>16.203516666666665</v>
      </c>
      <c r="E1108" s="8">
        <f t="shared" si="90"/>
        <v>16.198866666666664</v>
      </c>
      <c r="F1108" s="4">
        <f t="shared" si="90"/>
        <v>16.886025000000004</v>
      </c>
      <c r="G1108" s="8">
        <f t="shared" si="90"/>
        <v>16.022383333333334</v>
      </c>
      <c r="H1108" s="4">
        <f t="shared" si="90"/>
        <v>16.934916666666666</v>
      </c>
      <c r="I1108" s="8">
        <f t="shared" si="90"/>
        <v>15.851466666666667</v>
      </c>
      <c r="J1108" s="4">
        <f t="shared" si="90"/>
        <v>15.699100000000001</v>
      </c>
      <c r="K1108" s="7"/>
      <c r="L1108" s="5">
        <f>SUM(L569:L580)</f>
        <v>356.48229999999995</v>
      </c>
      <c r="M1108" s="5">
        <f>SUM(M569:M580)</f>
        <v>142.42920000000001</v>
      </c>
      <c r="N1108" s="5">
        <f>SUM(N569:N580)</f>
        <v>58.377000000000002</v>
      </c>
      <c r="O1108" s="5">
        <f>SUM(O547:O558)</f>
        <v>4.4046000000000003</v>
      </c>
      <c r="P1108" s="5">
        <f>SUM(P569:P580)</f>
        <v>15.262199999999998</v>
      </c>
      <c r="Q1108" s="5">
        <f>SUM(Q569:Q580)</f>
        <v>232.44659999999996</v>
      </c>
      <c r="R1108" s="5"/>
      <c r="S1108" s="6"/>
    </row>
    <row r="1109" spans="1:19" ht="15" customHeight="1">
      <c r="A1109" s="3">
        <f t="shared" si="46"/>
        <v>2061</v>
      </c>
      <c r="B1109" s="8">
        <f t="shared" ref="B1109:J1109" si="91">AVERAGE(B581:B592)</f>
        <v>16.574966666666668</v>
      </c>
      <c r="C1109" s="8">
        <f t="shared" si="91"/>
        <v>16.581208333333336</v>
      </c>
      <c r="D1109" s="8">
        <f t="shared" si="91"/>
        <v>16.592166666666671</v>
      </c>
      <c r="E1109" s="8">
        <f t="shared" si="91"/>
        <v>16.587516666666669</v>
      </c>
      <c r="F1109" s="4">
        <f t="shared" si="91"/>
        <v>17.274683333333332</v>
      </c>
      <c r="G1109" s="8">
        <f t="shared" si="91"/>
        <v>16.406474999999997</v>
      </c>
      <c r="H1109" s="4">
        <f t="shared" si="91"/>
        <v>17.319016666666666</v>
      </c>
      <c r="I1109" s="8">
        <f t="shared" si="91"/>
        <v>16.228816666666667</v>
      </c>
      <c r="J1109" s="4">
        <f t="shared" si="91"/>
        <v>16.076291666666666</v>
      </c>
      <c r="K1109" s="7"/>
      <c r="L1109" s="5">
        <f>SUM(L581:L592)</f>
        <v>355.53689999999995</v>
      </c>
      <c r="M1109" s="5">
        <f>SUM(M581:M592)</f>
        <v>142.0401</v>
      </c>
      <c r="N1109" s="5">
        <f>SUM(N581:N592)</f>
        <v>58.217499999999994</v>
      </c>
      <c r="O1109" s="5">
        <f>SUM(O548:O559)</f>
        <v>4.4046000000000003</v>
      </c>
      <c r="P1109" s="5">
        <f>SUM(P581:P592)</f>
        <v>15.220499999999998</v>
      </c>
      <c r="Q1109" s="5">
        <f>SUM(Q581:Q592)</f>
        <v>231.81149999999997</v>
      </c>
      <c r="R1109" s="5"/>
      <c r="S1109" s="6"/>
    </row>
    <row r="1110" spans="1:19" ht="15" customHeight="1">
      <c r="A1110" s="3">
        <f t="shared" si="46"/>
        <v>2062</v>
      </c>
      <c r="B1110" s="4">
        <f t="shared" ref="B1110:J1119" ca="1" si="92">AVERAGE(OFFSET(B$593,($A1110-$A$1110)*12,0,12,1))</f>
        <v>16.972941666666664</v>
      </c>
      <c r="C1110" s="4">
        <f t="shared" ca="1" si="92"/>
        <v>16.979183333333332</v>
      </c>
      <c r="D1110" s="4">
        <f t="shared" ca="1" si="92"/>
        <v>16.99014166666667</v>
      </c>
      <c r="E1110" s="4">
        <f t="shared" ca="1" si="92"/>
        <v>16.985491666666665</v>
      </c>
      <c r="F1110" s="4">
        <f t="shared" ca="1" si="92"/>
        <v>17.672658333333334</v>
      </c>
      <c r="G1110" s="4">
        <f t="shared" ca="1" si="92"/>
        <v>16.799808333333335</v>
      </c>
      <c r="H1110" s="4">
        <f t="shared" ca="1" si="92"/>
        <v>17.71231666666667</v>
      </c>
      <c r="I1110" s="4">
        <f t="shared" ca="1" si="92"/>
        <v>16.61525</v>
      </c>
      <c r="J1110" s="4">
        <f t="shared" ca="1" si="92"/>
        <v>16.462525000000003</v>
      </c>
      <c r="K1110" s="4"/>
      <c r="L1110" s="5">
        <f t="shared" ref="L1110:Q1119" ca="1" si="93">SUM(OFFSET(L$593,($A1110-$A$1110)*12,0,12,1))</f>
        <v>355.53689999999995</v>
      </c>
      <c r="M1110" s="5">
        <f t="shared" ca="1" si="93"/>
        <v>142.0401</v>
      </c>
      <c r="N1110" s="5">
        <f t="shared" ca="1" si="93"/>
        <v>58.217499999999994</v>
      </c>
      <c r="O1110" s="5">
        <f t="shared" ca="1" si="93"/>
        <v>4.4046000000000003</v>
      </c>
      <c r="P1110" s="5">
        <f t="shared" ca="1" si="93"/>
        <v>15.220499999999998</v>
      </c>
      <c r="Q1110" s="5">
        <f t="shared" ca="1" si="93"/>
        <v>231.81149999999997</v>
      </c>
      <c r="R1110" s="4"/>
      <c r="S1110" s="4"/>
    </row>
    <row r="1111" spans="1:19" ht="15" customHeight="1">
      <c r="A1111" s="3">
        <f t="shared" si="46"/>
        <v>2063</v>
      </c>
      <c r="B1111" s="4">
        <f t="shared" ca="1" si="92"/>
        <v>17.380491666666668</v>
      </c>
      <c r="C1111" s="4">
        <f t="shared" ca="1" si="92"/>
        <v>17.386741666666669</v>
      </c>
      <c r="D1111" s="4">
        <f t="shared" ca="1" si="92"/>
        <v>17.397683333333333</v>
      </c>
      <c r="E1111" s="4">
        <f t="shared" ca="1" si="92"/>
        <v>17.393041666666672</v>
      </c>
      <c r="F1111" s="4">
        <f t="shared" ca="1" si="92"/>
        <v>18.080191666666668</v>
      </c>
      <c r="G1111" s="4">
        <f t="shared" ca="1" si="92"/>
        <v>17.202558333333332</v>
      </c>
      <c r="H1111" s="4">
        <f t="shared" ca="1" si="92"/>
        <v>18.115125000000003</v>
      </c>
      <c r="I1111" s="4">
        <f t="shared" ca="1" si="92"/>
        <v>17.010999999999999</v>
      </c>
      <c r="J1111" s="4">
        <f t="shared" ca="1" si="92"/>
        <v>16.858050000000002</v>
      </c>
      <c r="K1111" s="4"/>
      <c r="L1111" s="5">
        <f t="shared" ca="1" si="93"/>
        <v>355.53689999999995</v>
      </c>
      <c r="M1111" s="5">
        <f t="shared" ca="1" si="93"/>
        <v>142.0401</v>
      </c>
      <c r="N1111" s="5">
        <f t="shared" ca="1" si="93"/>
        <v>58.217499999999994</v>
      </c>
      <c r="O1111" s="5">
        <f t="shared" ca="1" si="93"/>
        <v>4.4046000000000003</v>
      </c>
      <c r="P1111" s="5">
        <f t="shared" ca="1" si="93"/>
        <v>15.220499999999998</v>
      </c>
      <c r="Q1111" s="5">
        <f t="shared" ca="1" si="93"/>
        <v>231.81149999999997</v>
      </c>
      <c r="R1111" s="4"/>
      <c r="S1111" s="4"/>
    </row>
    <row r="1112" spans="1:19" ht="15" customHeight="1">
      <c r="A1112" s="3">
        <f t="shared" si="46"/>
        <v>2064</v>
      </c>
      <c r="B1112" s="4">
        <f t="shared" ca="1" si="92"/>
        <v>17.79781666666667</v>
      </c>
      <c r="C1112" s="4">
        <f t="shared" ca="1" si="92"/>
        <v>17.804074999999997</v>
      </c>
      <c r="D1112" s="4">
        <f t="shared" ca="1" si="92"/>
        <v>17.815016666666668</v>
      </c>
      <c r="E1112" s="4">
        <f t="shared" ca="1" si="92"/>
        <v>17.81036666666667</v>
      </c>
      <c r="F1112" s="4">
        <f t="shared" ca="1" si="92"/>
        <v>18.497533333333333</v>
      </c>
      <c r="G1112" s="4">
        <f t="shared" ca="1" si="92"/>
        <v>17.615024999999999</v>
      </c>
      <c r="H1112" s="4">
        <f t="shared" ca="1" si="92"/>
        <v>18.527558333333332</v>
      </c>
      <c r="I1112" s="4">
        <f t="shared" ca="1" si="92"/>
        <v>17.416208333333334</v>
      </c>
      <c r="J1112" s="4">
        <f t="shared" ca="1" si="92"/>
        <v>17.263074999999997</v>
      </c>
      <c r="K1112" s="4"/>
      <c r="L1112" s="5">
        <f t="shared" ca="1" si="93"/>
        <v>356.48229999999995</v>
      </c>
      <c r="M1112" s="5">
        <f t="shared" ca="1" si="93"/>
        <v>142.42920000000001</v>
      </c>
      <c r="N1112" s="5">
        <f t="shared" ca="1" si="93"/>
        <v>58.377000000000002</v>
      </c>
      <c r="O1112" s="5">
        <f t="shared" ca="1" si="93"/>
        <v>4.4165999999999999</v>
      </c>
      <c r="P1112" s="5">
        <f t="shared" ca="1" si="93"/>
        <v>15.262199999999998</v>
      </c>
      <c r="Q1112" s="5">
        <f t="shared" ca="1" si="93"/>
        <v>232.44659999999996</v>
      </c>
      <c r="R1112" s="4"/>
      <c r="S1112" s="4"/>
    </row>
    <row r="1113" spans="1:19" ht="15" customHeight="1">
      <c r="A1113" s="3">
        <f t="shared" si="46"/>
        <v>2065</v>
      </c>
      <c r="B1113" s="4">
        <f t="shared" ca="1" si="92"/>
        <v>18.225200000000001</v>
      </c>
      <c r="C1113" s="4">
        <f t="shared" ca="1" si="92"/>
        <v>18.231425000000002</v>
      </c>
      <c r="D1113" s="4">
        <f t="shared" ca="1" si="92"/>
        <v>18.242374999999999</v>
      </c>
      <c r="E1113" s="4">
        <f t="shared" ca="1" si="92"/>
        <v>18.237725000000001</v>
      </c>
      <c r="F1113" s="4">
        <f t="shared" ca="1" si="92"/>
        <v>18.924900000000001</v>
      </c>
      <c r="G1113" s="4">
        <f t="shared" ca="1" si="92"/>
        <v>18.037383333333334</v>
      </c>
      <c r="H1113" s="4">
        <f t="shared" ca="1" si="92"/>
        <v>18.949941666666664</v>
      </c>
      <c r="I1113" s="4">
        <f t="shared" ca="1" si="92"/>
        <v>17.831191666666669</v>
      </c>
      <c r="J1113" s="4">
        <f t="shared" ca="1" si="92"/>
        <v>17.677825000000002</v>
      </c>
      <c r="K1113" s="4"/>
      <c r="L1113" s="5">
        <f t="shared" ca="1" si="93"/>
        <v>355.53689999999995</v>
      </c>
      <c r="M1113" s="5">
        <f t="shared" ca="1" si="93"/>
        <v>142.0401</v>
      </c>
      <c r="N1113" s="5">
        <f t="shared" ca="1" si="93"/>
        <v>58.217499999999994</v>
      </c>
      <c r="O1113" s="5">
        <f t="shared" ca="1" si="93"/>
        <v>4.4046000000000003</v>
      </c>
      <c r="P1113" s="5">
        <f t="shared" ca="1" si="93"/>
        <v>15.220499999999998</v>
      </c>
      <c r="Q1113" s="5">
        <f t="shared" ca="1" si="93"/>
        <v>231.81149999999997</v>
      </c>
      <c r="R1113" s="4"/>
      <c r="S1113" s="4"/>
    </row>
    <row r="1114" spans="1:19" ht="15" customHeight="1">
      <c r="A1114" s="3">
        <f t="shared" si="46"/>
        <v>2066</v>
      </c>
      <c r="B1114" s="4">
        <f t="shared" ca="1" si="92"/>
        <v>18.662816666666664</v>
      </c>
      <c r="C1114" s="4">
        <f t="shared" ca="1" si="92"/>
        <v>18.669083333333337</v>
      </c>
      <c r="D1114" s="4">
        <f t="shared" ca="1" si="92"/>
        <v>18.680016666666667</v>
      </c>
      <c r="E1114" s="4">
        <f t="shared" ca="1" si="92"/>
        <v>18.675374999999995</v>
      </c>
      <c r="F1114" s="4">
        <f t="shared" ca="1" si="92"/>
        <v>19.362533333333332</v>
      </c>
      <c r="G1114" s="4">
        <f t="shared" ca="1" si="92"/>
        <v>18.469891666666665</v>
      </c>
      <c r="H1114" s="4">
        <f t="shared" ca="1" si="92"/>
        <v>19.382425000000001</v>
      </c>
      <c r="I1114" s="4">
        <f t="shared" ca="1" si="92"/>
        <v>18.256125000000001</v>
      </c>
      <c r="J1114" s="4">
        <f t="shared" ca="1" si="92"/>
        <v>18.102575000000002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  <c r="S1114" s="4"/>
    </row>
    <row r="1115" spans="1:19" ht="15" customHeight="1">
      <c r="A1115" s="3">
        <f t="shared" si="46"/>
        <v>2067</v>
      </c>
      <c r="B1115" s="4">
        <f t="shared" ca="1" si="92"/>
        <v>19.110958333333333</v>
      </c>
      <c r="C1115" s="4">
        <f t="shared" ca="1" si="92"/>
        <v>19.117224999999998</v>
      </c>
      <c r="D1115" s="4">
        <f t="shared" ca="1" si="92"/>
        <v>19.128166666666669</v>
      </c>
      <c r="E1115" s="4">
        <f t="shared" ca="1" si="92"/>
        <v>19.123525000000001</v>
      </c>
      <c r="F1115" s="4">
        <f t="shared" ca="1" si="92"/>
        <v>19.810691666666667</v>
      </c>
      <c r="G1115" s="4">
        <f t="shared" ca="1" si="92"/>
        <v>18.912800000000001</v>
      </c>
      <c r="H1115" s="4">
        <f t="shared" ca="1" si="92"/>
        <v>19.825324999999999</v>
      </c>
      <c r="I1115" s="4">
        <f t="shared" ca="1" si="92"/>
        <v>18.691258333333334</v>
      </c>
      <c r="J1115" s="4">
        <f t="shared" ca="1" si="92"/>
        <v>18.537475000000001</v>
      </c>
      <c r="K1115" s="4"/>
      <c r="L1115" s="5">
        <f t="shared" ca="1" si="93"/>
        <v>355.53689999999995</v>
      </c>
      <c r="M1115" s="5">
        <f t="shared" ca="1" si="93"/>
        <v>142.0401</v>
      </c>
      <c r="N1115" s="5">
        <f t="shared" ca="1" si="93"/>
        <v>58.217499999999994</v>
      </c>
      <c r="O1115" s="5">
        <f t="shared" ca="1" si="93"/>
        <v>4.4046000000000003</v>
      </c>
      <c r="P1115" s="5">
        <f t="shared" ca="1" si="93"/>
        <v>15.220499999999998</v>
      </c>
      <c r="Q1115" s="5">
        <f t="shared" ca="1" si="93"/>
        <v>231.81149999999997</v>
      </c>
      <c r="R1115" s="4"/>
      <c r="S1115" s="4"/>
    </row>
    <row r="1116" spans="1:19" ht="15" customHeight="1">
      <c r="A1116" s="3">
        <f t="shared" si="46"/>
        <v>2068</v>
      </c>
      <c r="B1116" s="4">
        <f t="shared" ca="1" si="92"/>
        <v>19.56989166666667</v>
      </c>
      <c r="C1116" s="4">
        <f t="shared" ca="1" si="92"/>
        <v>19.576133333333328</v>
      </c>
      <c r="D1116" s="4">
        <f t="shared" ca="1" si="92"/>
        <v>19.587091666666666</v>
      </c>
      <c r="E1116" s="4">
        <f t="shared" ca="1" si="92"/>
        <v>19.582441666666668</v>
      </c>
      <c r="F1116" s="4">
        <f t="shared" ca="1" si="92"/>
        <v>20.269600000000001</v>
      </c>
      <c r="G1116" s="4">
        <f t="shared" ca="1" si="92"/>
        <v>19.366325</v>
      </c>
      <c r="H1116" s="4">
        <f t="shared" ca="1" si="92"/>
        <v>20.278875000000003</v>
      </c>
      <c r="I1116" s="4">
        <f t="shared" ca="1" si="92"/>
        <v>19.136858333333333</v>
      </c>
      <c r="J1116" s="4">
        <f t="shared" ca="1" si="92"/>
        <v>18.982875000000003</v>
      </c>
      <c r="K1116" s="4"/>
      <c r="L1116" s="5">
        <f t="shared" ca="1" si="93"/>
        <v>356.48229999999995</v>
      </c>
      <c r="M1116" s="5">
        <f t="shared" ca="1" si="93"/>
        <v>142.42920000000001</v>
      </c>
      <c r="N1116" s="5">
        <f t="shared" ca="1" si="93"/>
        <v>58.377000000000002</v>
      </c>
      <c r="O1116" s="5">
        <f t="shared" ca="1" si="93"/>
        <v>4.4165999999999999</v>
      </c>
      <c r="P1116" s="5">
        <f t="shared" ca="1" si="93"/>
        <v>15.262199999999998</v>
      </c>
      <c r="Q1116" s="5">
        <f t="shared" ca="1" si="93"/>
        <v>232.44659999999996</v>
      </c>
      <c r="R1116" s="4"/>
      <c r="S1116" s="4"/>
    </row>
    <row r="1117" spans="1:19" ht="15" customHeight="1">
      <c r="A1117" s="3">
        <f t="shared" si="46"/>
        <v>2069</v>
      </c>
      <c r="B1117" s="4">
        <f t="shared" ca="1" si="92"/>
        <v>20.039825000000004</v>
      </c>
      <c r="C1117" s="4">
        <f t="shared" ca="1" si="92"/>
        <v>20.046074999999998</v>
      </c>
      <c r="D1117" s="4">
        <f t="shared" ca="1" si="92"/>
        <v>20.057016666666666</v>
      </c>
      <c r="E1117" s="4">
        <f t="shared" ca="1" si="92"/>
        <v>20.052383333333335</v>
      </c>
      <c r="F1117" s="4">
        <f t="shared" ca="1" si="92"/>
        <v>20.739533333333334</v>
      </c>
      <c r="G1117" s="4">
        <f t="shared" ca="1" si="92"/>
        <v>19.830766666666666</v>
      </c>
      <c r="H1117" s="4">
        <f t="shared" ca="1" si="92"/>
        <v>20.743300000000001</v>
      </c>
      <c r="I1117" s="4">
        <f t="shared" ca="1" si="92"/>
        <v>19.593166666666665</v>
      </c>
      <c r="J1117" s="4">
        <f t="shared" ca="1" si="92"/>
        <v>19.438925000000001</v>
      </c>
      <c r="K1117" s="4"/>
      <c r="L1117" s="5">
        <f t="shared" ca="1" si="93"/>
        <v>355.53689999999995</v>
      </c>
      <c r="M1117" s="5">
        <f t="shared" ca="1" si="93"/>
        <v>142.0401</v>
      </c>
      <c r="N1117" s="5">
        <f t="shared" ca="1" si="93"/>
        <v>58.217499999999994</v>
      </c>
      <c r="O1117" s="5">
        <f t="shared" ca="1" si="93"/>
        <v>4.4046000000000003</v>
      </c>
      <c r="P1117" s="5">
        <f t="shared" ca="1" si="93"/>
        <v>15.220499999999998</v>
      </c>
      <c r="Q1117" s="5">
        <f t="shared" ca="1" si="93"/>
        <v>231.81149999999997</v>
      </c>
      <c r="R1117" s="4"/>
      <c r="S1117" s="4"/>
    </row>
    <row r="1118" spans="1:19" ht="15" customHeight="1">
      <c r="A1118" s="3">
        <f t="shared" ref="A1118:A1148" si="94">A1117+1</f>
        <v>2070</v>
      </c>
      <c r="B1118" s="4">
        <f t="shared" ca="1" si="92"/>
        <v>20.521049999999999</v>
      </c>
      <c r="C1118" s="4">
        <f t="shared" ca="1" si="92"/>
        <v>20.527308333333334</v>
      </c>
      <c r="D1118" s="4">
        <f t="shared" ca="1" si="92"/>
        <v>20.538258333333335</v>
      </c>
      <c r="E1118" s="4">
        <f t="shared" ca="1" si="92"/>
        <v>20.533616666666671</v>
      </c>
      <c r="F1118" s="4">
        <f t="shared" ca="1" si="92"/>
        <v>21.220766666666666</v>
      </c>
      <c r="G1118" s="4">
        <f t="shared" ca="1" si="92"/>
        <v>20.306375000000003</v>
      </c>
      <c r="H1118" s="4">
        <f t="shared" ca="1" si="92"/>
        <v>21.218900000000001</v>
      </c>
      <c r="I1118" s="4">
        <f t="shared" ca="1" si="92"/>
        <v>20.060441666666666</v>
      </c>
      <c r="J1118" s="4">
        <f t="shared" ca="1" si="92"/>
        <v>19.905958333333334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  <c r="S1118" s="4"/>
    </row>
    <row r="1119" spans="1:19" ht="15" customHeight="1">
      <c r="A1119" s="3">
        <f t="shared" si="94"/>
        <v>2071</v>
      </c>
      <c r="B1119" s="4">
        <f t="shared" ca="1" si="92"/>
        <v>21.013858333333335</v>
      </c>
      <c r="C1119" s="4">
        <f t="shared" ca="1" si="92"/>
        <v>21.020100000000003</v>
      </c>
      <c r="D1119" s="4">
        <f t="shared" ca="1" si="92"/>
        <v>21.03105</v>
      </c>
      <c r="E1119" s="4">
        <f t="shared" ca="1" si="92"/>
        <v>21.026408333333332</v>
      </c>
      <c r="F1119" s="4">
        <f t="shared" ca="1" si="92"/>
        <v>21.713575000000002</v>
      </c>
      <c r="G1119" s="4">
        <f t="shared" ca="1" si="92"/>
        <v>20.793408333333335</v>
      </c>
      <c r="H1119" s="4">
        <f t="shared" ca="1" si="92"/>
        <v>21.705925000000004</v>
      </c>
      <c r="I1119" s="4">
        <f t="shared" ca="1" si="92"/>
        <v>20.538933333333333</v>
      </c>
      <c r="J1119" s="4">
        <f t="shared" ca="1" si="92"/>
        <v>20.384241666666668</v>
      </c>
      <c r="K1119" s="4"/>
      <c r="L1119" s="5">
        <f t="shared" ca="1" si="93"/>
        <v>355.53689999999995</v>
      </c>
      <c r="M1119" s="5">
        <f t="shared" ca="1" si="93"/>
        <v>142.0401</v>
      </c>
      <c r="N1119" s="5">
        <f t="shared" ca="1" si="93"/>
        <v>58.217499999999994</v>
      </c>
      <c r="O1119" s="5">
        <f t="shared" ca="1" si="93"/>
        <v>4.4046000000000003</v>
      </c>
      <c r="P1119" s="5">
        <f t="shared" ca="1" si="93"/>
        <v>15.220499999999998</v>
      </c>
      <c r="Q1119" s="5">
        <f t="shared" ca="1" si="93"/>
        <v>231.81149999999997</v>
      </c>
      <c r="R1119" s="4"/>
      <c r="S1119" s="4"/>
    </row>
    <row r="1120" spans="1:19" ht="15" customHeight="1">
      <c r="A1120" s="3">
        <f t="shared" si="94"/>
        <v>2072</v>
      </c>
      <c r="B1120" s="4">
        <f t="shared" ref="B1120:J1129" ca="1" si="95">AVERAGE(OFFSET(B$593,($A1120-$A$1110)*12,0,12,1))</f>
        <v>21.518491666666662</v>
      </c>
      <c r="C1120" s="4">
        <f t="shared" ca="1" si="95"/>
        <v>21.524766666666668</v>
      </c>
      <c r="D1120" s="4">
        <f t="shared" ca="1" si="95"/>
        <v>21.535691666666668</v>
      </c>
      <c r="E1120" s="4">
        <f t="shared" ca="1" si="95"/>
        <v>21.531050000000004</v>
      </c>
      <c r="F1120" s="4">
        <f t="shared" ca="1" si="95"/>
        <v>22.218208333333337</v>
      </c>
      <c r="G1120" s="4">
        <f t="shared" ca="1" si="95"/>
        <v>21.292124999999999</v>
      </c>
      <c r="H1120" s="4">
        <f t="shared" ca="1" si="95"/>
        <v>22.204658333333331</v>
      </c>
      <c r="I1120" s="4">
        <f t="shared" ca="1" si="95"/>
        <v>21.028933333333335</v>
      </c>
      <c r="J1120" s="4">
        <f t="shared" ca="1" si="95"/>
        <v>20.873991666666665</v>
      </c>
      <c r="K1120" s="4"/>
      <c r="L1120" s="5">
        <f t="shared" ref="L1120:Q1129" ca="1" si="96">SUM(OFFSET(L$593,($A1120-$A$1110)*12,0,12,1))</f>
        <v>356.48229999999995</v>
      </c>
      <c r="M1120" s="5">
        <f t="shared" ca="1" si="96"/>
        <v>142.42920000000001</v>
      </c>
      <c r="N1120" s="5">
        <f t="shared" ca="1" si="96"/>
        <v>58.377000000000002</v>
      </c>
      <c r="O1120" s="5">
        <f t="shared" ca="1" si="96"/>
        <v>4.4165999999999999</v>
      </c>
      <c r="P1120" s="5">
        <f t="shared" ca="1" si="96"/>
        <v>15.262199999999998</v>
      </c>
      <c r="Q1120" s="5">
        <f t="shared" ca="1" si="96"/>
        <v>232.44659999999996</v>
      </c>
      <c r="R1120" s="4"/>
      <c r="S1120" s="4"/>
    </row>
    <row r="1121" spans="1:19" ht="15" customHeight="1">
      <c r="A1121" s="3">
        <f t="shared" si="94"/>
        <v>2073</v>
      </c>
      <c r="B1121" s="4">
        <f t="shared" ca="1" si="95"/>
        <v>22.035241666666668</v>
      </c>
      <c r="C1121" s="4">
        <f t="shared" ca="1" si="95"/>
        <v>22.041508333333336</v>
      </c>
      <c r="D1121" s="4">
        <f t="shared" ca="1" si="95"/>
        <v>22.052441666666667</v>
      </c>
      <c r="E1121" s="4">
        <f t="shared" ca="1" si="95"/>
        <v>22.047791666666665</v>
      </c>
      <c r="F1121" s="4">
        <f t="shared" ca="1" si="95"/>
        <v>22.734966666666665</v>
      </c>
      <c r="G1121" s="4">
        <f t="shared" ca="1" si="95"/>
        <v>21.802841666666666</v>
      </c>
      <c r="H1121" s="4">
        <f t="shared" ca="1" si="95"/>
        <v>22.715366666666668</v>
      </c>
      <c r="I1121" s="4">
        <f t="shared" ca="1" si="95"/>
        <v>21.530699999999996</v>
      </c>
      <c r="J1121" s="4">
        <f t="shared" ca="1" si="95"/>
        <v>21.375516666666666</v>
      </c>
      <c r="K1121" s="4"/>
      <c r="L1121" s="5">
        <f t="shared" ca="1" si="96"/>
        <v>355.53689999999995</v>
      </c>
      <c r="M1121" s="5">
        <f t="shared" ca="1" si="96"/>
        <v>142.0401</v>
      </c>
      <c r="N1121" s="5">
        <f t="shared" ca="1" si="96"/>
        <v>58.217499999999994</v>
      </c>
      <c r="O1121" s="5">
        <f t="shared" ca="1" si="96"/>
        <v>4.4046000000000003</v>
      </c>
      <c r="P1121" s="5">
        <f t="shared" ca="1" si="96"/>
        <v>15.220499999999998</v>
      </c>
      <c r="Q1121" s="5">
        <f t="shared" ca="1" si="96"/>
        <v>231.81149999999997</v>
      </c>
      <c r="R1121" s="4"/>
      <c r="S1121" s="4"/>
    </row>
    <row r="1122" spans="1:19" ht="15" customHeight="1">
      <c r="A1122" s="3">
        <f t="shared" si="94"/>
        <v>2074</v>
      </c>
      <c r="B1122" s="4">
        <f t="shared" ca="1" si="95"/>
        <v>22.564433333333337</v>
      </c>
      <c r="C1122" s="4">
        <f t="shared" ca="1" si="95"/>
        <v>22.570691666666672</v>
      </c>
      <c r="D1122" s="4">
        <f t="shared" ca="1" si="95"/>
        <v>22.58163333333334</v>
      </c>
      <c r="E1122" s="4">
        <f t="shared" ca="1" si="95"/>
        <v>22.576991666666668</v>
      </c>
      <c r="F1122" s="4">
        <f t="shared" ca="1" si="95"/>
        <v>23.264141666666671</v>
      </c>
      <c r="G1122" s="4">
        <f t="shared" ca="1" si="95"/>
        <v>22.325824999999998</v>
      </c>
      <c r="H1122" s="4">
        <f t="shared" ca="1" si="95"/>
        <v>23.238341666666667</v>
      </c>
      <c r="I1122" s="4">
        <f t="shared" ca="1" si="95"/>
        <v>22.044508333333336</v>
      </c>
      <c r="J1122" s="4">
        <f t="shared" ca="1" si="95"/>
        <v>21.889074999999995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  <c r="S1122" s="4"/>
    </row>
    <row r="1123" spans="1:19" ht="15" customHeight="1">
      <c r="A1123" s="3">
        <f t="shared" si="94"/>
        <v>2075</v>
      </c>
      <c r="B1123" s="4">
        <f t="shared" ca="1" si="95"/>
        <v>23.106333333333335</v>
      </c>
      <c r="C1123" s="4">
        <f t="shared" ca="1" si="95"/>
        <v>23.112583333333333</v>
      </c>
      <c r="D1123" s="4">
        <f t="shared" ca="1" si="95"/>
        <v>23.123516666666671</v>
      </c>
      <c r="E1123" s="4">
        <f t="shared" ca="1" si="95"/>
        <v>23.118891666666666</v>
      </c>
      <c r="F1123" s="4">
        <f t="shared" ca="1" si="95"/>
        <v>23.806041666666669</v>
      </c>
      <c r="G1123" s="4">
        <f t="shared" ca="1" si="95"/>
        <v>22.861349999999998</v>
      </c>
      <c r="H1123" s="4">
        <f t="shared" ca="1" si="95"/>
        <v>23.77388333333333</v>
      </c>
      <c r="I1123" s="4">
        <f t="shared" ca="1" si="95"/>
        <v>22.570683333333331</v>
      </c>
      <c r="J1123" s="4">
        <f t="shared" ca="1" si="95"/>
        <v>22.414966666666668</v>
      </c>
      <c r="K1123" s="4"/>
      <c r="L1123" s="5">
        <f t="shared" ca="1" si="96"/>
        <v>355.53689999999995</v>
      </c>
      <c r="M1123" s="5">
        <f t="shared" ca="1" si="96"/>
        <v>142.0401</v>
      </c>
      <c r="N1123" s="5">
        <f t="shared" ca="1" si="96"/>
        <v>58.217499999999994</v>
      </c>
      <c r="O1123" s="5">
        <f t="shared" ca="1" si="96"/>
        <v>4.4046000000000003</v>
      </c>
      <c r="P1123" s="5">
        <f t="shared" ca="1" si="96"/>
        <v>15.220499999999998</v>
      </c>
      <c r="Q1123" s="5">
        <f t="shared" ca="1" si="96"/>
        <v>231.81149999999997</v>
      </c>
      <c r="R1123" s="4"/>
      <c r="S1123" s="4"/>
    </row>
    <row r="1124" spans="1:19" ht="15" customHeight="1">
      <c r="A1124" s="3">
        <f t="shared" si="94"/>
        <v>2076</v>
      </c>
      <c r="B1124" s="4">
        <f t="shared" ca="1" si="95"/>
        <v>23.661241666666665</v>
      </c>
      <c r="C1124" s="4">
        <f t="shared" ca="1" si="95"/>
        <v>23.667499999999993</v>
      </c>
      <c r="D1124" s="4">
        <f t="shared" ca="1" si="95"/>
        <v>23.678433333333331</v>
      </c>
      <c r="E1124" s="4">
        <f t="shared" ca="1" si="95"/>
        <v>23.673791666666663</v>
      </c>
      <c r="F1124" s="4">
        <f t="shared" ca="1" si="95"/>
        <v>24.360958333333333</v>
      </c>
      <c r="G1124" s="4">
        <f t="shared" ca="1" si="95"/>
        <v>23.409775</v>
      </c>
      <c r="H1124" s="4">
        <f t="shared" ca="1" si="95"/>
        <v>24.322299999999998</v>
      </c>
      <c r="I1124" s="4">
        <f t="shared" ca="1" si="95"/>
        <v>23.109516666666664</v>
      </c>
      <c r="J1124" s="4">
        <f t="shared" ca="1" si="95"/>
        <v>22.953533333333336</v>
      </c>
      <c r="K1124" s="4"/>
      <c r="L1124" s="5">
        <f t="shared" ca="1" si="96"/>
        <v>356.48229999999995</v>
      </c>
      <c r="M1124" s="5">
        <f t="shared" ca="1" si="96"/>
        <v>142.42920000000001</v>
      </c>
      <c r="N1124" s="5">
        <f t="shared" ca="1" si="96"/>
        <v>58.377000000000002</v>
      </c>
      <c r="O1124" s="5">
        <f t="shared" ca="1" si="96"/>
        <v>4.4165999999999999</v>
      </c>
      <c r="P1124" s="5">
        <f t="shared" ca="1" si="96"/>
        <v>15.262199999999998</v>
      </c>
      <c r="Q1124" s="5">
        <f t="shared" ca="1" si="96"/>
        <v>232.44659999999996</v>
      </c>
      <c r="R1124" s="4"/>
      <c r="S1124" s="4"/>
    </row>
    <row r="1125" spans="1:19" ht="15" customHeight="1">
      <c r="A1125" s="3">
        <f t="shared" si="94"/>
        <v>2077</v>
      </c>
      <c r="B1125" s="4">
        <f t="shared" ca="1" si="95"/>
        <v>24.229474999999997</v>
      </c>
      <c r="C1125" s="4">
        <f t="shared" ca="1" si="95"/>
        <v>24.235741666666666</v>
      </c>
      <c r="D1125" s="4">
        <f t="shared" ca="1" si="95"/>
        <v>24.246691666666674</v>
      </c>
      <c r="E1125" s="4">
        <f t="shared" ca="1" si="95"/>
        <v>24.242041666666665</v>
      </c>
      <c r="F1125" s="4">
        <f t="shared" ca="1" si="95"/>
        <v>24.929208333333332</v>
      </c>
      <c r="G1125" s="4">
        <f t="shared" ca="1" si="95"/>
        <v>23.971358333333331</v>
      </c>
      <c r="H1125" s="4">
        <f t="shared" ca="1" si="95"/>
        <v>24.883908333333338</v>
      </c>
      <c r="I1125" s="4">
        <f t="shared" ca="1" si="95"/>
        <v>23.661291666666671</v>
      </c>
      <c r="J1125" s="4">
        <f t="shared" ca="1" si="95"/>
        <v>23.505016666666663</v>
      </c>
      <c r="K1125" s="4"/>
      <c r="L1125" s="5">
        <f t="shared" ca="1" si="96"/>
        <v>355.53689999999995</v>
      </c>
      <c r="M1125" s="5">
        <f t="shared" ca="1" si="96"/>
        <v>142.0401</v>
      </c>
      <c r="N1125" s="5">
        <f t="shared" ca="1" si="96"/>
        <v>58.217499999999994</v>
      </c>
      <c r="O1125" s="5">
        <f t="shared" ca="1" si="96"/>
        <v>4.4046000000000003</v>
      </c>
      <c r="P1125" s="5">
        <f t="shared" ca="1" si="96"/>
        <v>15.220499999999998</v>
      </c>
      <c r="Q1125" s="5">
        <f t="shared" ca="1" si="96"/>
        <v>231.81149999999997</v>
      </c>
      <c r="R1125" s="4"/>
      <c r="S1125" s="4"/>
    </row>
    <row r="1126" spans="1:19" ht="15" customHeight="1">
      <c r="A1126" s="3">
        <f t="shared" si="94"/>
        <v>2078</v>
      </c>
      <c r="B1126" s="4">
        <f t="shared" ca="1" si="95"/>
        <v>24.811383333333328</v>
      </c>
      <c r="C1126" s="4">
        <f t="shared" ca="1" si="95"/>
        <v>24.81765</v>
      </c>
      <c r="D1126" s="4">
        <f t="shared" ca="1" si="95"/>
        <v>24.828575000000001</v>
      </c>
      <c r="E1126" s="4">
        <f t="shared" ca="1" si="95"/>
        <v>24.823933333333329</v>
      </c>
      <c r="F1126" s="4">
        <f t="shared" ca="1" si="95"/>
        <v>25.511100000000003</v>
      </c>
      <c r="G1126" s="4">
        <f t="shared" ca="1" si="95"/>
        <v>24.546450000000004</v>
      </c>
      <c r="H1126" s="4">
        <f t="shared" ca="1" si="95"/>
        <v>25.459008333333333</v>
      </c>
      <c r="I1126" s="4">
        <f t="shared" ca="1" si="95"/>
        <v>24.226291666666665</v>
      </c>
      <c r="J1126" s="4">
        <f t="shared" ca="1" si="95"/>
        <v>24.069741666666669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  <c r="S1126" s="4"/>
    </row>
    <row r="1127" spans="1:19" ht="15" customHeight="1">
      <c r="A1127" s="3">
        <f t="shared" si="94"/>
        <v>2079</v>
      </c>
      <c r="B1127" s="4">
        <f t="shared" ca="1" si="95"/>
        <v>25.407258333333335</v>
      </c>
      <c r="C1127" s="4">
        <f t="shared" ca="1" si="95"/>
        <v>25.413524999999996</v>
      </c>
      <c r="D1127" s="4">
        <f t="shared" ca="1" si="95"/>
        <v>25.424466666666671</v>
      </c>
      <c r="E1127" s="4">
        <f t="shared" ca="1" si="95"/>
        <v>25.419808333333336</v>
      </c>
      <c r="F1127" s="4">
        <f t="shared" ca="1" si="95"/>
        <v>26.106991666666669</v>
      </c>
      <c r="G1127" s="4">
        <f t="shared" ca="1" si="95"/>
        <v>25.135350000000003</v>
      </c>
      <c r="H1127" s="4">
        <f t="shared" ca="1" si="95"/>
        <v>26.047899999999998</v>
      </c>
      <c r="I1127" s="4">
        <f t="shared" ca="1" si="95"/>
        <v>24.804874999999999</v>
      </c>
      <c r="J1127" s="4">
        <f t="shared" ca="1" si="95"/>
        <v>24.648033333333334</v>
      </c>
      <c r="K1127" s="4"/>
      <c r="L1127" s="5">
        <f t="shared" ca="1" si="96"/>
        <v>355.53689999999995</v>
      </c>
      <c r="M1127" s="5">
        <f t="shared" ca="1" si="96"/>
        <v>142.0401</v>
      </c>
      <c r="N1127" s="5">
        <f t="shared" ca="1" si="96"/>
        <v>58.217499999999994</v>
      </c>
      <c r="O1127" s="5">
        <f t="shared" ca="1" si="96"/>
        <v>4.4046000000000003</v>
      </c>
      <c r="P1127" s="5">
        <f t="shared" ca="1" si="96"/>
        <v>15.220499999999998</v>
      </c>
      <c r="Q1127" s="5">
        <f t="shared" ca="1" si="96"/>
        <v>231.81149999999997</v>
      </c>
      <c r="R1127" s="4"/>
      <c r="S1127" s="4"/>
    </row>
    <row r="1128" spans="1:19" ht="15" customHeight="1">
      <c r="A1128" s="3">
        <f t="shared" si="94"/>
        <v>2080</v>
      </c>
      <c r="B1128" s="4">
        <f t="shared" ca="1" si="95"/>
        <v>26.017466666666664</v>
      </c>
      <c r="C1128" s="4">
        <f t="shared" ca="1" si="95"/>
        <v>26.023724999999999</v>
      </c>
      <c r="D1128" s="4">
        <f t="shared" ca="1" si="95"/>
        <v>26.034666666666663</v>
      </c>
      <c r="E1128" s="4">
        <f t="shared" ca="1" si="95"/>
        <v>26.030033333333336</v>
      </c>
      <c r="F1128" s="4">
        <f t="shared" ca="1" si="95"/>
        <v>26.717183333333335</v>
      </c>
      <c r="G1128" s="4">
        <f t="shared" ca="1" si="95"/>
        <v>25.738416666666666</v>
      </c>
      <c r="H1128" s="4">
        <f t="shared" ca="1" si="95"/>
        <v>26.650941666666668</v>
      </c>
      <c r="I1128" s="4">
        <f t="shared" ca="1" si="95"/>
        <v>25.39736666666667</v>
      </c>
      <c r="J1128" s="4">
        <f t="shared" ca="1" si="95"/>
        <v>25.240241666666666</v>
      </c>
      <c r="K1128" s="4"/>
      <c r="L1128" s="5">
        <f t="shared" ca="1" si="96"/>
        <v>356.48229999999995</v>
      </c>
      <c r="M1128" s="5">
        <f t="shared" ca="1" si="96"/>
        <v>142.42920000000001</v>
      </c>
      <c r="N1128" s="5">
        <f t="shared" ca="1" si="96"/>
        <v>58.377000000000002</v>
      </c>
      <c r="O1128" s="5">
        <f t="shared" ca="1" si="96"/>
        <v>4.4165999999999999</v>
      </c>
      <c r="P1128" s="5">
        <f t="shared" ca="1" si="96"/>
        <v>15.262199999999998</v>
      </c>
      <c r="Q1128" s="5">
        <f t="shared" ca="1" si="96"/>
        <v>232.44659999999996</v>
      </c>
      <c r="R1128" s="4"/>
      <c r="S1128" s="4"/>
    </row>
    <row r="1129" spans="1:19" ht="15" customHeight="1">
      <c r="A1129" s="3">
        <f t="shared" si="94"/>
        <v>2081</v>
      </c>
      <c r="B1129" s="4">
        <f t="shared" ca="1" si="95"/>
        <v>26.64233333333333</v>
      </c>
      <c r="C1129" s="4">
        <f t="shared" ca="1" si="95"/>
        <v>26.648608333333332</v>
      </c>
      <c r="D1129" s="4">
        <f t="shared" ca="1" si="95"/>
        <v>26.659533333333332</v>
      </c>
      <c r="E1129" s="4">
        <f t="shared" ca="1" si="95"/>
        <v>26.654900000000001</v>
      </c>
      <c r="F1129" s="4">
        <f t="shared" ca="1" si="95"/>
        <v>27.34205</v>
      </c>
      <c r="G1129" s="4">
        <f t="shared" ca="1" si="95"/>
        <v>26.355958333333334</v>
      </c>
      <c r="H1129" s="4">
        <f t="shared" ca="1" si="95"/>
        <v>27.268483333333332</v>
      </c>
      <c r="I1129" s="4">
        <f t="shared" ca="1" si="95"/>
        <v>26.004099999999998</v>
      </c>
      <c r="J1129" s="4">
        <f t="shared" ca="1" si="95"/>
        <v>25.846683333333335</v>
      </c>
      <c r="K1129" s="4"/>
      <c r="L1129" s="5">
        <f t="shared" ca="1" si="96"/>
        <v>355.53689999999995</v>
      </c>
      <c r="M1129" s="5">
        <f t="shared" ca="1" si="96"/>
        <v>142.0401</v>
      </c>
      <c r="N1129" s="5">
        <f t="shared" ca="1" si="96"/>
        <v>58.217499999999994</v>
      </c>
      <c r="O1129" s="5">
        <f t="shared" ca="1" si="96"/>
        <v>4.4046000000000003</v>
      </c>
      <c r="P1129" s="5">
        <f t="shared" ca="1" si="96"/>
        <v>15.220499999999998</v>
      </c>
      <c r="Q1129" s="5">
        <f t="shared" ca="1" si="96"/>
        <v>231.81149999999997</v>
      </c>
      <c r="R1129" s="4"/>
      <c r="S1129" s="4"/>
    </row>
    <row r="1130" spans="1:19" ht="15" customHeight="1">
      <c r="A1130" s="3">
        <f t="shared" si="94"/>
        <v>2082</v>
      </c>
      <c r="B1130" s="4">
        <f t="shared" ref="B1130:J1139" ca="1" si="97">AVERAGE(OFFSET(B$593,($A1130-$A$1110)*12,0,12,1))</f>
        <v>27.282200000000003</v>
      </c>
      <c r="C1130" s="4">
        <f t="shared" ca="1" si="97"/>
        <v>27.288458333333338</v>
      </c>
      <c r="D1130" s="4">
        <f t="shared" ca="1" si="97"/>
        <v>27.299408333333332</v>
      </c>
      <c r="E1130" s="4">
        <f t="shared" ca="1" si="97"/>
        <v>27.294766666666664</v>
      </c>
      <c r="F1130" s="4">
        <f t="shared" ca="1" si="97"/>
        <v>27.981925</v>
      </c>
      <c r="G1130" s="4">
        <f t="shared" ca="1" si="97"/>
        <v>26.988350000000001</v>
      </c>
      <c r="H1130" s="4">
        <f t="shared" ca="1" si="97"/>
        <v>27.900874999999999</v>
      </c>
      <c r="I1130" s="4">
        <f t="shared" ca="1" si="97"/>
        <v>26.625400000000003</v>
      </c>
      <c r="J1130" s="4">
        <f t="shared" ca="1" si="97"/>
        <v>26.467666666666663</v>
      </c>
      <c r="K1130" s="4"/>
      <c r="L1130" s="5">
        <f t="shared" ref="L1130:Q1139" ca="1" si="98">SUM(OFFSET(L$593,($A1130-$A$1110)*12,0,12,1))</f>
        <v>355.53689999999995</v>
      </c>
      <c r="M1130" s="5">
        <f t="shared" ca="1" si="98"/>
        <v>142.0401</v>
      </c>
      <c r="N1130" s="5">
        <f t="shared" ca="1" si="98"/>
        <v>58.217499999999994</v>
      </c>
      <c r="O1130" s="5">
        <f t="shared" ca="1" si="98"/>
        <v>4.4046000000000003</v>
      </c>
      <c r="P1130" s="5">
        <f t="shared" ca="1" si="98"/>
        <v>15.220499999999998</v>
      </c>
      <c r="Q1130" s="5">
        <f t="shared" ca="1" si="98"/>
        <v>231.81149999999997</v>
      </c>
      <c r="R1130" s="4"/>
      <c r="S1130" s="4"/>
    </row>
    <row r="1131" spans="1:19" ht="15" customHeight="1">
      <c r="A1131" s="3">
        <f t="shared" si="94"/>
        <v>2083</v>
      </c>
      <c r="B1131" s="4">
        <f t="shared" ca="1" si="97"/>
        <v>27.937450000000002</v>
      </c>
      <c r="C1131" s="4">
        <f t="shared" ca="1" si="97"/>
        <v>27.943716666666663</v>
      </c>
      <c r="D1131" s="4">
        <f t="shared" ca="1" si="97"/>
        <v>27.954658333333338</v>
      </c>
      <c r="E1131" s="4">
        <f t="shared" ca="1" si="97"/>
        <v>27.950008333333333</v>
      </c>
      <c r="F1131" s="4">
        <f t="shared" ca="1" si="97"/>
        <v>28.637175000000003</v>
      </c>
      <c r="G1131" s="4">
        <f t="shared" ca="1" si="97"/>
        <v>27.635916666666663</v>
      </c>
      <c r="H1131" s="4">
        <f t="shared" ca="1" si="97"/>
        <v>28.548458333333333</v>
      </c>
      <c r="I1131" s="4">
        <f t="shared" ca="1" si="97"/>
        <v>27.261650000000003</v>
      </c>
      <c r="J1131" s="4">
        <f t="shared" ca="1" si="97"/>
        <v>27.10359166666667</v>
      </c>
      <c r="K1131" s="4"/>
      <c r="L1131" s="5">
        <f t="shared" ca="1" si="98"/>
        <v>355.53689999999995</v>
      </c>
      <c r="M1131" s="5">
        <f t="shared" ca="1" si="98"/>
        <v>142.0401</v>
      </c>
      <c r="N1131" s="5">
        <f t="shared" ca="1" si="98"/>
        <v>58.217499999999994</v>
      </c>
      <c r="O1131" s="5">
        <f t="shared" ca="1" si="98"/>
        <v>4.4046000000000003</v>
      </c>
      <c r="P1131" s="5">
        <f t="shared" ca="1" si="98"/>
        <v>15.220499999999998</v>
      </c>
      <c r="Q1131" s="5">
        <f t="shared" ca="1" si="98"/>
        <v>231.81149999999997</v>
      </c>
      <c r="R1131" s="4"/>
      <c r="S1131" s="4"/>
    </row>
    <row r="1132" spans="1:19" ht="15" customHeight="1">
      <c r="A1132" s="3">
        <f t="shared" si="94"/>
        <v>2084</v>
      </c>
      <c r="B1132" s="4">
        <f t="shared" ca="1" si="97"/>
        <v>28.608449999999994</v>
      </c>
      <c r="C1132" s="4">
        <f t="shared" ca="1" si="97"/>
        <v>28.614691666666669</v>
      </c>
      <c r="D1132" s="4">
        <f t="shared" ca="1" si="97"/>
        <v>28.625658333333334</v>
      </c>
      <c r="E1132" s="4">
        <f t="shared" ca="1" si="97"/>
        <v>28.620999999999995</v>
      </c>
      <c r="F1132" s="4">
        <f t="shared" ca="1" si="97"/>
        <v>29.308174999999995</v>
      </c>
      <c r="G1132" s="4">
        <f t="shared" ca="1" si="97"/>
        <v>28.299050000000005</v>
      </c>
      <c r="H1132" s="4">
        <f t="shared" ca="1" si="97"/>
        <v>29.211591666666667</v>
      </c>
      <c r="I1132" s="4">
        <f t="shared" ca="1" si="97"/>
        <v>27.913166666666669</v>
      </c>
      <c r="J1132" s="4">
        <f t="shared" ca="1" si="97"/>
        <v>27.754800000000003</v>
      </c>
      <c r="K1132" s="4"/>
      <c r="L1132" s="5">
        <f t="shared" ca="1" si="98"/>
        <v>356.48229999999995</v>
      </c>
      <c r="M1132" s="5">
        <f t="shared" ca="1" si="98"/>
        <v>142.42920000000001</v>
      </c>
      <c r="N1132" s="5">
        <f t="shared" ca="1" si="98"/>
        <v>58.377000000000002</v>
      </c>
      <c r="O1132" s="5">
        <f t="shared" ca="1" si="98"/>
        <v>4.4165999999999999</v>
      </c>
      <c r="P1132" s="5">
        <f t="shared" ca="1" si="98"/>
        <v>15.262199999999998</v>
      </c>
      <c r="Q1132" s="5">
        <f t="shared" ca="1" si="98"/>
        <v>232.44659999999996</v>
      </c>
      <c r="R1132" s="4"/>
      <c r="S1132" s="4"/>
    </row>
    <row r="1133" spans="1:19" ht="15" customHeight="1">
      <c r="A1133" s="3">
        <f t="shared" si="94"/>
        <v>2085</v>
      </c>
      <c r="B1133" s="4">
        <f t="shared" ca="1" si="97"/>
        <v>29.295558333333336</v>
      </c>
      <c r="C1133" s="4">
        <f t="shared" ca="1" si="97"/>
        <v>29.301824999999997</v>
      </c>
      <c r="D1133" s="4">
        <f t="shared" ca="1" si="97"/>
        <v>29.312758333333331</v>
      </c>
      <c r="E1133" s="4">
        <f t="shared" ca="1" si="97"/>
        <v>29.308116666666667</v>
      </c>
      <c r="F1133" s="4">
        <f t="shared" ca="1" si="97"/>
        <v>29.995283333333333</v>
      </c>
      <c r="G1133" s="4">
        <f t="shared" ca="1" si="97"/>
        <v>28.978133333333336</v>
      </c>
      <c r="H1133" s="4">
        <f t="shared" ca="1" si="97"/>
        <v>29.890658333333334</v>
      </c>
      <c r="I1133" s="4">
        <f t="shared" ca="1" si="97"/>
        <v>28.580375</v>
      </c>
      <c r="J1133" s="4">
        <f t="shared" ca="1" si="97"/>
        <v>28.421641666666659</v>
      </c>
      <c r="K1133" s="4"/>
      <c r="L1133" s="5">
        <f t="shared" ca="1" si="98"/>
        <v>355.53689999999995</v>
      </c>
      <c r="M1133" s="5">
        <f t="shared" ca="1" si="98"/>
        <v>142.0401</v>
      </c>
      <c r="N1133" s="5">
        <f t="shared" ca="1" si="98"/>
        <v>58.217499999999994</v>
      </c>
      <c r="O1133" s="5">
        <f t="shared" ca="1" si="98"/>
        <v>4.4046000000000003</v>
      </c>
      <c r="P1133" s="5">
        <f t="shared" ca="1" si="98"/>
        <v>15.220499999999998</v>
      </c>
      <c r="Q1133" s="5">
        <f t="shared" ca="1" si="98"/>
        <v>231.81149999999997</v>
      </c>
      <c r="R1133" s="4"/>
      <c r="S1133" s="4"/>
    </row>
    <row r="1134" spans="1:19" ht="15" customHeight="1">
      <c r="A1134" s="3">
        <f t="shared" si="94"/>
        <v>2086</v>
      </c>
      <c r="B1134" s="4">
        <f t="shared" ca="1" si="97"/>
        <v>29.999199999999998</v>
      </c>
      <c r="C1134" s="4">
        <f t="shared" ca="1" si="97"/>
        <v>30.005441666666666</v>
      </c>
      <c r="D1134" s="4">
        <f t="shared" ca="1" si="97"/>
        <v>30.016400000000004</v>
      </c>
      <c r="E1134" s="4">
        <f t="shared" ca="1" si="97"/>
        <v>30.011750000000003</v>
      </c>
      <c r="F1134" s="4">
        <f t="shared" ca="1" si="97"/>
        <v>30.698899999999998</v>
      </c>
      <c r="G1134" s="4">
        <f t="shared" ca="1" si="97"/>
        <v>29.673500000000001</v>
      </c>
      <c r="H1134" s="4">
        <f t="shared" ca="1" si="97"/>
        <v>30.58604166666667</v>
      </c>
      <c r="I1134" s="4">
        <f t="shared" ca="1" si="97"/>
        <v>29.263566666666673</v>
      </c>
      <c r="J1134" s="4">
        <f t="shared" ca="1" si="97"/>
        <v>29.104499999999998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  <c r="S1134" s="4"/>
    </row>
    <row r="1135" spans="1:19" ht="15" customHeight="1">
      <c r="A1135" s="3">
        <f t="shared" si="94"/>
        <v>2087</v>
      </c>
      <c r="B1135" s="4">
        <f t="shared" ca="1" si="97"/>
        <v>30.719716666666667</v>
      </c>
      <c r="C1135" s="4">
        <f t="shared" ca="1" si="97"/>
        <v>30.725983333333328</v>
      </c>
      <c r="D1135" s="4">
        <f t="shared" ca="1" si="97"/>
        <v>30.736933333333337</v>
      </c>
      <c r="E1135" s="4">
        <f t="shared" ca="1" si="97"/>
        <v>30.732291666666669</v>
      </c>
      <c r="F1135" s="4">
        <f t="shared" ca="1" si="97"/>
        <v>31.419433333333341</v>
      </c>
      <c r="G1135" s="4">
        <f t="shared" ca="1" si="97"/>
        <v>30.38559166666667</v>
      </c>
      <c r="H1135" s="4">
        <f t="shared" ca="1" si="97"/>
        <v>31.298141666666666</v>
      </c>
      <c r="I1135" s="4">
        <f t="shared" ca="1" si="97"/>
        <v>29.963208333333338</v>
      </c>
      <c r="J1135" s="4">
        <f t="shared" ca="1" si="97"/>
        <v>29.803775000000005</v>
      </c>
      <c r="K1135" s="4"/>
      <c r="L1135" s="5">
        <f t="shared" ca="1" si="98"/>
        <v>355.53689999999995</v>
      </c>
      <c r="M1135" s="5">
        <f t="shared" ca="1" si="98"/>
        <v>142.0401</v>
      </c>
      <c r="N1135" s="5">
        <f t="shared" ca="1" si="98"/>
        <v>58.217499999999994</v>
      </c>
      <c r="O1135" s="5">
        <f t="shared" ca="1" si="98"/>
        <v>4.4046000000000003</v>
      </c>
      <c r="P1135" s="5">
        <f t="shared" ca="1" si="98"/>
        <v>15.220499999999998</v>
      </c>
      <c r="Q1135" s="5">
        <f t="shared" ca="1" si="98"/>
        <v>231.81149999999997</v>
      </c>
      <c r="R1135" s="4"/>
      <c r="S1135" s="4"/>
    </row>
    <row r="1136" spans="1:19" ht="15" customHeight="1">
      <c r="A1136" s="3">
        <f t="shared" si="94"/>
        <v>2088</v>
      </c>
      <c r="B1136" s="4">
        <f t="shared" ca="1" si="97"/>
        <v>31.457575000000006</v>
      </c>
      <c r="C1136" s="4">
        <f t="shared" ca="1" si="97"/>
        <v>31.46383333333333</v>
      </c>
      <c r="D1136" s="4">
        <f t="shared" ca="1" si="97"/>
        <v>31.474774999999998</v>
      </c>
      <c r="E1136" s="4">
        <f t="shared" ca="1" si="97"/>
        <v>31.470116666666666</v>
      </c>
      <c r="F1136" s="4">
        <f t="shared" ca="1" si="97"/>
        <v>32.157283333333339</v>
      </c>
      <c r="G1136" s="4">
        <f t="shared" ca="1" si="97"/>
        <v>31.114808333333333</v>
      </c>
      <c r="H1136" s="4">
        <f t="shared" ca="1" si="97"/>
        <v>32.027341666666665</v>
      </c>
      <c r="I1136" s="4">
        <f t="shared" ca="1" si="97"/>
        <v>30.679633333333332</v>
      </c>
      <c r="J1136" s="4">
        <f t="shared" ca="1" si="97"/>
        <v>30.519866666666669</v>
      </c>
      <c r="K1136" s="4"/>
      <c r="L1136" s="5">
        <f t="shared" ca="1" si="98"/>
        <v>356.48229999999995</v>
      </c>
      <c r="M1136" s="5">
        <f t="shared" ca="1" si="98"/>
        <v>142.42920000000001</v>
      </c>
      <c r="N1136" s="5">
        <f t="shared" ca="1" si="98"/>
        <v>58.377000000000002</v>
      </c>
      <c r="O1136" s="5">
        <f t="shared" ca="1" si="98"/>
        <v>4.4165999999999999</v>
      </c>
      <c r="P1136" s="5">
        <f t="shared" ca="1" si="98"/>
        <v>15.262199999999998</v>
      </c>
      <c r="Q1136" s="5">
        <f t="shared" ca="1" si="98"/>
        <v>232.44659999999996</v>
      </c>
      <c r="R1136" s="4"/>
      <c r="S1136" s="4"/>
    </row>
    <row r="1137" spans="1:19" ht="15" customHeight="1">
      <c r="A1137" s="3">
        <f t="shared" si="94"/>
        <v>2089</v>
      </c>
      <c r="B1137" s="4">
        <f t="shared" ca="1" si="97"/>
        <v>32.213141666666665</v>
      </c>
      <c r="C1137" s="4">
        <f t="shared" ca="1" si="97"/>
        <v>32.219383333333333</v>
      </c>
      <c r="D1137" s="4">
        <f t="shared" ca="1" si="97"/>
        <v>32.230349999999994</v>
      </c>
      <c r="E1137" s="4">
        <f t="shared" ca="1" si="97"/>
        <v>32.22569166666667</v>
      </c>
      <c r="F1137" s="4">
        <f t="shared" ca="1" si="97"/>
        <v>32.912866666666666</v>
      </c>
      <c r="G1137" s="4">
        <f t="shared" ca="1" si="97"/>
        <v>31.861525</v>
      </c>
      <c r="H1137" s="4">
        <f t="shared" ca="1" si="97"/>
        <v>32.774058333333336</v>
      </c>
      <c r="I1137" s="4">
        <f t="shared" ca="1" si="97"/>
        <v>31.413275000000009</v>
      </c>
      <c r="J1137" s="4">
        <f t="shared" ca="1" si="97"/>
        <v>31.253133333333338</v>
      </c>
      <c r="K1137" s="4"/>
      <c r="L1137" s="5">
        <f t="shared" ca="1" si="98"/>
        <v>355.53689999999995</v>
      </c>
      <c r="M1137" s="5">
        <f t="shared" ca="1" si="98"/>
        <v>142.0401</v>
      </c>
      <c r="N1137" s="5">
        <f t="shared" ca="1" si="98"/>
        <v>58.217499999999994</v>
      </c>
      <c r="O1137" s="5">
        <f t="shared" ca="1" si="98"/>
        <v>4.4046000000000003</v>
      </c>
      <c r="P1137" s="5">
        <f t="shared" ca="1" si="98"/>
        <v>15.220499999999998</v>
      </c>
      <c r="Q1137" s="5">
        <f t="shared" ca="1" si="98"/>
        <v>231.81149999999997</v>
      </c>
      <c r="R1137" s="4"/>
      <c r="S1137" s="4"/>
    </row>
    <row r="1138" spans="1:19" ht="15" customHeight="1">
      <c r="A1138" s="3">
        <f t="shared" si="94"/>
        <v>2090</v>
      </c>
      <c r="B1138" s="4">
        <f t="shared" ca="1" si="97"/>
        <v>32.986875000000005</v>
      </c>
      <c r="C1138" s="4">
        <f t="shared" ca="1" si="97"/>
        <v>32.993124999999999</v>
      </c>
      <c r="D1138" s="4">
        <f t="shared" ca="1" si="97"/>
        <v>33.004066666666667</v>
      </c>
      <c r="E1138" s="4">
        <f t="shared" ca="1" si="97"/>
        <v>32.999416666666669</v>
      </c>
      <c r="F1138" s="4">
        <f t="shared" ca="1" si="97"/>
        <v>33.686575000000005</v>
      </c>
      <c r="G1138" s="4">
        <f t="shared" ca="1" si="97"/>
        <v>32.626199999999997</v>
      </c>
      <c r="H1138" s="4">
        <f t="shared" ca="1" si="97"/>
        <v>33.538733333333333</v>
      </c>
      <c r="I1138" s="4">
        <f t="shared" ca="1" si="97"/>
        <v>32.164558333333339</v>
      </c>
      <c r="J1138" s="4">
        <f t="shared" ca="1" si="97"/>
        <v>32.004049999999999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  <c r="S1138" s="4"/>
    </row>
    <row r="1139" spans="1:19" ht="15" customHeight="1">
      <c r="A1139" s="3">
        <f t="shared" si="94"/>
        <v>2091</v>
      </c>
      <c r="B1139" s="4">
        <f t="shared" ca="1" si="97"/>
        <v>33.779199999999996</v>
      </c>
      <c r="C1139" s="4">
        <f t="shared" ca="1" si="97"/>
        <v>33.785449999999997</v>
      </c>
      <c r="D1139" s="4">
        <f t="shared" ca="1" si="97"/>
        <v>33.796391666666672</v>
      </c>
      <c r="E1139" s="4">
        <f t="shared" ca="1" si="97"/>
        <v>33.79175</v>
      </c>
      <c r="F1139" s="4">
        <f t="shared" ca="1" si="97"/>
        <v>34.478891666666662</v>
      </c>
      <c r="G1139" s="4">
        <f t="shared" ca="1" si="97"/>
        <v>33.409224999999999</v>
      </c>
      <c r="H1139" s="4">
        <f t="shared" ca="1" si="97"/>
        <v>34.321758333333328</v>
      </c>
      <c r="I1139" s="4">
        <f t="shared" ca="1" si="97"/>
        <v>32.933891666666668</v>
      </c>
      <c r="J1139" s="4">
        <f t="shared" ca="1" si="97"/>
        <v>32.77299166666667</v>
      </c>
      <c r="K1139" s="4"/>
      <c r="L1139" s="5">
        <f t="shared" ca="1" si="98"/>
        <v>355.53689999999995</v>
      </c>
      <c r="M1139" s="5">
        <f t="shared" ca="1" si="98"/>
        <v>142.0401</v>
      </c>
      <c r="N1139" s="5">
        <f t="shared" ca="1" si="98"/>
        <v>58.217499999999994</v>
      </c>
      <c r="O1139" s="5">
        <f t="shared" ca="1" si="98"/>
        <v>4.4046000000000003</v>
      </c>
      <c r="P1139" s="5">
        <f t="shared" ca="1" si="98"/>
        <v>15.220499999999998</v>
      </c>
      <c r="Q1139" s="5">
        <f t="shared" ca="1" si="98"/>
        <v>231.81149999999997</v>
      </c>
      <c r="R1139" s="4"/>
      <c r="S1139" s="4"/>
    </row>
    <row r="1140" spans="1:19" ht="15" customHeight="1">
      <c r="A1140" s="3">
        <f t="shared" si="94"/>
        <v>2092</v>
      </c>
      <c r="B1140" s="4">
        <f t="shared" ref="B1140:J1148" ca="1" si="99">AVERAGE(OFFSET(B$593,($A1140-$A$1110)*12,0,12,1))</f>
        <v>34.590533333333333</v>
      </c>
      <c r="C1140" s="4">
        <f t="shared" ca="1" si="99"/>
        <v>34.596791666666668</v>
      </c>
      <c r="D1140" s="4">
        <f t="shared" ca="1" si="99"/>
        <v>34.607741666666669</v>
      </c>
      <c r="E1140" s="4">
        <f t="shared" ca="1" si="99"/>
        <v>34.603091666666671</v>
      </c>
      <c r="F1140" s="4">
        <f t="shared" ca="1" si="99"/>
        <v>35.290266666666668</v>
      </c>
      <c r="G1140" s="4">
        <f t="shared" ca="1" si="99"/>
        <v>34.211099999999995</v>
      </c>
      <c r="H1140" s="4">
        <f t="shared" ca="1" si="99"/>
        <v>35.123633333333331</v>
      </c>
      <c r="I1140" s="4">
        <f t="shared" ca="1" si="99"/>
        <v>33.721699999999991</v>
      </c>
      <c r="J1140" s="4">
        <f t="shared" ca="1" si="99"/>
        <v>33.560408333333335</v>
      </c>
      <c r="K1140" s="4"/>
      <c r="L1140" s="5">
        <f t="shared" ref="L1140:Q1148" ca="1" si="100">SUM(OFFSET(L$593,($A1140-$A$1110)*12,0,12,1))</f>
        <v>356.48229999999995</v>
      </c>
      <c r="M1140" s="5">
        <f t="shared" ca="1" si="100"/>
        <v>142.42920000000001</v>
      </c>
      <c r="N1140" s="5">
        <f t="shared" ca="1" si="100"/>
        <v>58.377000000000002</v>
      </c>
      <c r="O1140" s="5">
        <f t="shared" ca="1" si="100"/>
        <v>4.4165999999999999</v>
      </c>
      <c r="P1140" s="5">
        <f t="shared" ca="1" si="100"/>
        <v>15.262199999999998</v>
      </c>
      <c r="Q1140" s="5">
        <f t="shared" ca="1" si="100"/>
        <v>232.44659999999996</v>
      </c>
      <c r="R1140" s="4"/>
      <c r="S1140" s="4"/>
    </row>
    <row r="1141" spans="1:19" ht="15" customHeight="1">
      <c r="A1141" s="3">
        <f t="shared" si="94"/>
        <v>2093</v>
      </c>
      <c r="B1141" s="4">
        <f t="shared" ca="1" si="99"/>
        <v>35.421399999999998</v>
      </c>
      <c r="C1141" s="4">
        <f t="shared" ca="1" si="99"/>
        <v>35.427641666666666</v>
      </c>
      <c r="D1141" s="4">
        <f t="shared" ca="1" si="99"/>
        <v>35.438608333333327</v>
      </c>
      <c r="E1141" s="4">
        <f t="shared" ca="1" si="99"/>
        <v>35.433950000000003</v>
      </c>
      <c r="F1141" s="4">
        <f t="shared" ca="1" si="99"/>
        <v>36.121108333333332</v>
      </c>
      <c r="G1141" s="4">
        <f t="shared" ca="1" si="99"/>
        <v>35.032208333333337</v>
      </c>
      <c r="H1141" s="4">
        <f t="shared" ca="1" si="99"/>
        <v>35.944750000000006</v>
      </c>
      <c r="I1141" s="4">
        <f t="shared" ca="1" si="99"/>
        <v>34.528441666666673</v>
      </c>
      <c r="J1141" s="4">
        <f t="shared" ca="1" si="99"/>
        <v>34.366750000000003</v>
      </c>
      <c r="K1141" s="4"/>
      <c r="L1141" s="5">
        <f t="shared" ca="1" si="100"/>
        <v>355.53689999999995</v>
      </c>
      <c r="M1141" s="5">
        <f t="shared" ca="1" si="100"/>
        <v>142.0401</v>
      </c>
      <c r="N1141" s="5">
        <f t="shared" ca="1" si="100"/>
        <v>58.217499999999994</v>
      </c>
      <c r="O1141" s="5">
        <f t="shared" ca="1" si="100"/>
        <v>4.4046000000000003</v>
      </c>
      <c r="P1141" s="5">
        <f t="shared" ca="1" si="100"/>
        <v>15.220499999999998</v>
      </c>
      <c r="Q1141" s="5">
        <f t="shared" ca="1" si="100"/>
        <v>231.81149999999997</v>
      </c>
      <c r="R1141" s="4"/>
      <c r="S1141" s="4"/>
    </row>
    <row r="1142" spans="1:19" ht="15" customHeight="1">
      <c r="A1142" s="3">
        <f t="shared" si="94"/>
        <v>2094</v>
      </c>
      <c r="B1142" s="4">
        <f t="shared" ca="1" si="99"/>
        <v>36.272208333333339</v>
      </c>
      <c r="C1142" s="4">
        <f t="shared" ca="1" si="99"/>
        <v>36.278475</v>
      </c>
      <c r="D1142" s="4">
        <f t="shared" ca="1" si="99"/>
        <v>36.289416666666661</v>
      </c>
      <c r="E1142" s="4">
        <f t="shared" ca="1" si="99"/>
        <v>36.28478333333333</v>
      </c>
      <c r="F1142" s="4">
        <f t="shared" ca="1" si="99"/>
        <v>36.971924999999999</v>
      </c>
      <c r="G1142" s="4">
        <f t="shared" ca="1" si="99"/>
        <v>35.873074999999993</v>
      </c>
      <c r="H1142" s="4">
        <f t="shared" ca="1" si="99"/>
        <v>36.785591666666669</v>
      </c>
      <c r="I1142" s="4">
        <f t="shared" ca="1" si="99"/>
        <v>35.354591666666664</v>
      </c>
      <c r="J1142" s="4">
        <f t="shared" ca="1" si="99"/>
        <v>35.192466666666668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  <c r="S1142" s="4"/>
    </row>
    <row r="1143" spans="1:19" ht="15" customHeight="1">
      <c r="A1143" s="3">
        <f t="shared" si="94"/>
        <v>2095</v>
      </c>
      <c r="B1143" s="4">
        <f t="shared" ca="1" si="99"/>
        <v>37.143458333333342</v>
      </c>
      <c r="C1143" s="4">
        <f t="shared" ca="1" si="99"/>
        <v>37.149724999999997</v>
      </c>
      <c r="D1143" s="4">
        <f t="shared" ca="1" si="99"/>
        <v>37.160666666666664</v>
      </c>
      <c r="E1143" s="4">
        <f t="shared" ca="1" si="99"/>
        <v>37.156025000000007</v>
      </c>
      <c r="F1143" s="4">
        <f t="shared" ca="1" si="99"/>
        <v>37.843175000000009</v>
      </c>
      <c r="G1143" s="4">
        <f t="shared" ca="1" si="99"/>
        <v>36.734116666666665</v>
      </c>
      <c r="H1143" s="4">
        <f t="shared" ca="1" si="99"/>
        <v>37.646650000000001</v>
      </c>
      <c r="I1143" s="4">
        <f t="shared" ca="1" si="99"/>
        <v>36.20055833333334</v>
      </c>
      <c r="J1143" s="4">
        <f t="shared" ca="1" si="99"/>
        <v>36.038016666666671</v>
      </c>
      <c r="K1143" s="4"/>
      <c r="L1143" s="5">
        <f t="shared" ca="1" si="100"/>
        <v>355.53689999999995</v>
      </c>
      <c r="M1143" s="5">
        <f t="shared" ca="1" si="100"/>
        <v>142.0401</v>
      </c>
      <c r="N1143" s="5">
        <f t="shared" ca="1" si="100"/>
        <v>58.217499999999994</v>
      </c>
      <c r="O1143" s="5">
        <f t="shared" ca="1" si="100"/>
        <v>4.4046000000000003</v>
      </c>
      <c r="P1143" s="5">
        <f t="shared" ca="1" si="100"/>
        <v>15.220499999999998</v>
      </c>
      <c r="Q1143" s="5">
        <f t="shared" ca="1" si="100"/>
        <v>231.81149999999997</v>
      </c>
      <c r="R1143" s="4"/>
      <c r="S1143" s="4"/>
    </row>
    <row r="1144" spans="1:19" ht="15" customHeight="1">
      <c r="A1144" s="3">
        <f t="shared" si="94"/>
        <v>2096</v>
      </c>
      <c r="B1144" s="4">
        <f t="shared" ca="1" si="99"/>
        <v>38.035649999999997</v>
      </c>
      <c r="C1144" s="4">
        <f t="shared" ca="1" si="99"/>
        <v>38.041916666666658</v>
      </c>
      <c r="D1144" s="4">
        <f t="shared" ca="1" si="99"/>
        <v>38.052849999999999</v>
      </c>
      <c r="E1144" s="4">
        <f t="shared" ca="1" si="99"/>
        <v>38.048200000000001</v>
      </c>
      <c r="F1144" s="4">
        <f t="shared" ca="1" si="99"/>
        <v>38.735383333333331</v>
      </c>
      <c r="G1144" s="4">
        <f t="shared" ca="1" si="99"/>
        <v>37.615866666666669</v>
      </c>
      <c r="H1144" s="4">
        <f t="shared" ca="1" si="99"/>
        <v>38.528391666666664</v>
      </c>
      <c r="I1144" s="4">
        <f t="shared" ca="1" si="99"/>
        <v>37.06686666666667</v>
      </c>
      <c r="J1144" s="4">
        <f t="shared" ca="1" si="99"/>
        <v>36.903908333333341</v>
      </c>
      <c r="K1144" s="4"/>
      <c r="L1144" s="5">
        <f t="shared" ca="1" si="100"/>
        <v>356.48229999999995</v>
      </c>
      <c r="M1144" s="5">
        <f t="shared" ca="1" si="100"/>
        <v>142.42920000000001</v>
      </c>
      <c r="N1144" s="5">
        <f t="shared" ca="1" si="100"/>
        <v>58.377000000000002</v>
      </c>
      <c r="O1144" s="5">
        <f t="shared" ca="1" si="100"/>
        <v>4.4165999999999999</v>
      </c>
      <c r="P1144" s="5">
        <f t="shared" ca="1" si="100"/>
        <v>15.262199999999998</v>
      </c>
      <c r="Q1144" s="5">
        <f t="shared" ca="1" si="100"/>
        <v>232.44659999999996</v>
      </c>
      <c r="R1144" s="4"/>
      <c r="S1144" s="4"/>
    </row>
    <row r="1145" spans="1:19" ht="15" customHeight="1">
      <c r="A1145" s="3">
        <f t="shared" si="94"/>
        <v>2097</v>
      </c>
      <c r="B1145" s="4">
        <f t="shared" ca="1" si="99"/>
        <v>38.949275</v>
      </c>
      <c r="C1145" s="4">
        <f t="shared" ca="1" si="99"/>
        <v>38.955533333333328</v>
      </c>
      <c r="D1145" s="4">
        <f t="shared" ca="1" si="99"/>
        <v>38.966500000000003</v>
      </c>
      <c r="E1145" s="4">
        <f t="shared" ca="1" si="99"/>
        <v>38.961841666666665</v>
      </c>
      <c r="F1145" s="4">
        <f t="shared" ca="1" si="99"/>
        <v>39.649008333333335</v>
      </c>
      <c r="G1145" s="4">
        <f t="shared" ca="1" si="99"/>
        <v>38.518791666666665</v>
      </c>
      <c r="H1145" s="4">
        <f t="shared" ca="1" si="99"/>
        <v>39.431316666666667</v>
      </c>
      <c r="I1145" s="4">
        <f t="shared" ca="1" si="99"/>
        <v>37.953983333333333</v>
      </c>
      <c r="J1145" s="4">
        <f t="shared" ca="1" si="99"/>
        <v>37.79056666666667</v>
      </c>
      <c r="K1145" s="4"/>
      <c r="L1145" s="5">
        <f t="shared" ca="1" si="100"/>
        <v>355.53689999999995</v>
      </c>
      <c r="M1145" s="5">
        <f t="shared" ca="1" si="100"/>
        <v>142.0401</v>
      </c>
      <c r="N1145" s="5">
        <f t="shared" ca="1" si="100"/>
        <v>58.217499999999994</v>
      </c>
      <c r="O1145" s="5">
        <f t="shared" ca="1" si="100"/>
        <v>4.4046000000000003</v>
      </c>
      <c r="P1145" s="5">
        <f t="shared" ca="1" si="100"/>
        <v>15.220499999999998</v>
      </c>
      <c r="Q1145" s="5">
        <f t="shared" ca="1" si="100"/>
        <v>231.81149999999997</v>
      </c>
      <c r="R1145" s="4"/>
      <c r="S1145" s="4"/>
    </row>
    <row r="1146" spans="1:19" ht="15" customHeight="1">
      <c r="A1146" s="3">
        <f t="shared" si="94"/>
        <v>2098</v>
      </c>
      <c r="B1146" s="4">
        <f t="shared" ca="1" si="99"/>
        <v>39.884866666666667</v>
      </c>
      <c r="C1146" s="4">
        <f t="shared" ca="1" si="99"/>
        <v>39.891116666666669</v>
      </c>
      <c r="D1146" s="4">
        <f t="shared" ca="1" si="99"/>
        <v>39.902050000000003</v>
      </c>
      <c r="E1146" s="4">
        <f t="shared" ca="1" si="99"/>
        <v>39.897400000000005</v>
      </c>
      <c r="F1146" s="4">
        <f t="shared" ca="1" si="99"/>
        <v>40.584574999999994</v>
      </c>
      <c r="G1146" s="4">
        <f t="shared" ca="1" si="99"/>
        <v>39.443408333333338</v>
      </c>
      <c r="H1146" s="4">
        <f t="shared" ca="1" si="99"/>
        <v>40.355933333333333</v>
      </c>
      <c r="I1146" s="4">
        <f t="shared" ca="1" si="99"/>
        <v>38.862416666666668</v>
      </c>
      <c r="J1146" s="4">
        <f t="shared" ca="1" si="99"/>
        <v>38.698541666666671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  <c r="S1146" s="4"/>
    </row>
    <row r="1147" spans="1:19" ht="15" customHeight="1">
      <c r="A1147" s="3">
        <f t="shared" si="94"/>
        <v>2099</v>
      </c>
      <c r="B1147" s="4">
        <f t="shared" ca="1" si="99"/>
        <v>40.842916666666675</v>
      </c>
      <c r="C1147" s="4">
        <f t="shared" ca="1" si="99"/>
        <v>40.849174999999995</v>
      </c>
      <c r="D1147" s="4">
        <f t="shared" ca="1" si="99"/>
        <v>40.86013333333333</v>
      </c>
      <c r="E1147" s="4">
        <f t="shared" ca="1" si="99"/>
        <v>40.855499999999999</v>
      </c>
      <c r="F1147" s="4">
        <f t="shared" ca="1" si="99"/>
        <v>41.542625000000001</v>
      </c>
      <c r="G1147" s="4">
        <f t="shared" ca="1" si="99"/>
        <v>40.390258333333328</v>
      </c>
      <c r="H1147" s="4">
        <f t="shared" ca="1" si="99"/>
        <v>41.30277499999999</v>
      </c>
      <c r="I1147" s="4">
        <f t="shared" ca="1" si="99"/>
        <v>39.792683333333336</v>
      </c>
      <c r="J1147" s="4">
        <f t="shared" ca="1" si="99"/>
        <v>39.628333333333337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  <c r="S1147" s="4"/>
    </row>
    <row r="1148" spans="1:19" ht="15" customHeight="1">
      <c r="A1148" s="3">
        <f t="shared" si="94"/>
        <v>2100</v>
      </c>
      <c r="B1148" s="4">
        <f t="shared" ca="1" si="99"/>
        <v>41.824008333333332</v>
      </c>
      <c r="C1148" s="4">
        <f t="shared" ca="1" si="99"/>
        <v>41.830258333333333</v>
      </c>
      <c r="D1148" s="4">
        <f t="shared" ca="1" si="99"/>
        <v>41.841191666666667</v>
      </c>
      <c r="E1148" s="4">
        <f t="shared" ca="1" si="99"/>
        <v>41.836541666666669</v>
      </c>
      <c r="F1148" s="4">
        <f t="shared" ca="1" si="99"/>
        <v>42.523716666666665</v>
      </c>
      <c r="G1148" s="4">
        <f t="shared" ca="1" si="99"/>
        <v>41.359841666666668</v>
      </c>
      <c r="H1148" s="4">
        <f t="shared" ca="1" si="99"/>
        <v>42.27236666666667</v>
      </c>
      <c r="I1148" s="4">
        <f t="shared" ca="1" si="99"/>
        <v>40.745274999999999</v>
      </c>
      <c r="J1148" s="4">
        <f t="shared" ca="1" si="99"/>
        <v>40.580491666666667</v>
      </c>
      <c r="K1148" s="4"/>
      <c r="L1148" s="5">
        <f t="shared" ca="1" si="100"/>
        <v>355.53689999999995</v>
      </c>
      <c r="M1148" s="5">
        <f t="shared" ca="1" si="100"/>
        <v>142.0401</v>
      </c>
      <c r="N1148" s="5">
        <f t="shared" ca="1" si="100"/>
        <v>58.217499999999994</v>
      </c>
      <c r="O1148" s="5">
        <f t="shared" ca="1" si="100"/>
        <v>4.4046000000000003</v>
      </c>
      <c r="P1148" s="5">
        <f t="shared" ca="1" si="100"/>
        <v>15.220499999999998</v>
      </c>
      <c r="Q1148" s="5">
        <f t="shared" ca="1" si="100"/>
        <v>231.81149999999997</v>
      </c>
      <c r="R1148" s="4"/>
      <c r="S1148" s="4"/>
    </row>
    <row r="1149" spans="1:19">
      <c r="A1149" s="3"/>
    </row>
    <row r="1150" spans="1:19">
      <c r="A1150" s="3"/>
    </row>
    <row r="1151" spans="1:19">
      <c r="A1151" s="3"/>
    </row>
    <row r="1152" spans="1:19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</sheetData>
  <mergeCells count="2">
    <mergeCell ref="L13:S13"/>
    <mergeCell ref="L14:S14"/>
  </mergeCells>
  <pageMargins left="0.25" right="0.25" top="0.5" bottom="0.5" header="0.25" footer="0.25"/>
  <pageSetup paperSize="5" scale="7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8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7.109375" defaultRowHeight="12.75"/>
  <cols>
    <col min="1" max="1" width="7.5546875" style="36" bestFit="1" customWidth="1"/>
    <col min="2" max="2" width="7.88671875" style="36" customWidth="1"/>
    <col min="3" max="7" width="11.33203125" style="35" customWidth="1"/>
    <col min="8" max="8" width="12.77734375" style="35" bestFit="1" customWidth="1"/>
    <col min="9" max="9" width="13.21875" style="35" customWidth="1"/>
    <col min="10" max="10" width="12.77734375" style="35" customWidth="1"/>
    <col min="11" max="11" width="7.77734375" style="35" customWidth="1"/>
    <col min="12" max="16384" width="7.109375" style="35"/>
  </cols>
  <sheetData>
    <row r="1" spans="1:10" ht="15.75">
      <c r="A1" s="87" t="s">
        <v>64</v>
      </c>
    </row>
    <row r="2" spans="1:10" ht="15.75">
      <c r="A2" s="87" t="s">
        <v>65</v>
      </c>
    </row>
    <row r="3" spans="1:10" ht="15.75">
      <c r="A3" s="87" t="s">
        <v>66</v>
      </c>
    </row>
    <row r="4" spans="1:10" ht="15.75">
      <c r="A4" s="87" t="s">
        <v>67</v>
      </c>
    </row>
    <row r="5" spans="1:10" ht="15.75">
      <c r="A5" s="87" t="s">
        <v>73</v>
      </c>
    </row>
    <row r="6" spans="1:10" ht="15.75">
      <c r="A6" s="87" t="s">
        <v>72</v>
      </c>
    </row>
    <row r="8" spans="1:10" ht="20.25">
      <c r="A8" s="34" t="s">
        <v>35</v>
      </c>
    </row>
    <row r="9" spans="1:10" ht="15.75">
      <c r="A9" s="33" t="s">
        <v>25</v>
      </c>
    </row>
    <row r="11" spans="1:10">
      <c r="A11" s="35"/>
    </row>
    <row r="12" spans="1:10" ht="15.75">
      <c r="A12" s="35"/>
      <c r="B12" s="33"/>
      <c r="C12" s="56"/>
      <c r="I12" s="27"/>
    </row>
    <row r="13" spans="1:10" ht="15.75">
      <c r="A13" s="33"/>
      <c r="B13" s="33"/>
      <c r="C13" s="56"/>
      <c r="I13" s="27"/>
    </row>
    <row r="14" spans="1:10" ht="15.75">
      <c r="A14" s="33"/>
      <c r="C14" s="89" t="s">
        <v>34</v>
      </c>
      <c r="D14" s="89"/>
      <c r="E14" s="89"/>
      <c r="F14" s="55"/>
      <c r="G14" s="54"/>
      <c r="H14" s="53"/>
      <c r="I14" s="52"/>
    </row>
    <row r="15" spans="1:10" ht="97.9" customHeight="1">
      <c r="A15" s="21"/>
      <c r="B15" s="21"/>
      <c r="C15" s="24" t="s">
        <v>20</v>
      </c>
      <c r="D15" s="51" t="s">
        <v>19</v>
      </c>
      <c r="E15" s="24" t="s">
        <v>33</v>
      </c>
      <c r="F15" s="24" t="s">
        <v>32</v>
      </c>
      <c r="G15" s="24" t="s">
        <v>16</v>
      </c>
      <c r="H15" s="50" t="s">
        <v>31</v>
      </c>
      <c r="I15" s="24" t="s">
        <v>30</v>
      </c>
      <c r="J15" s="24" t="s">
        <v>29</v>
      </c>
    </row>
    <row r="16" spans="1:10" ht="15.75">
      <c r="A16" s="23" t="s">
        <v>2</v>
      </c>
      <c r="B16" s="23" t="s">
        <v>28</v>
      </c>
      <c r="C16" s="23" t="s">
        <v>27</v>
      </c>
      <c r="D16" s="23" t="s">
        <v>27</v>
      </c>
      <c r="E16" s="23" t="s">
        <v>27</v>
      </c>
      <c r="F16" s="23" t="s">
        <v>27</v>
      </c>
      <c r="G16" s="23" t="s">
        <v>27</v>
      </c>
      <c r="H16" s="49" t="s">
        <v>27</v>
      </c>
      <c r="I16" s="23" t="s">
        <v>27</v>
      </c>
      <c r="J16" s="23" t="s">
        <v>27</v>
      </c>
    </row>
    <row r="17" spans="1:20" ht="15.75">
      <c r="A17" s="13">
        <v>41640</v>
      </c>
      <c r="B17" s="47">
        <v>31</v>
      </c>
      <c r="C17" s="38">
        <v>122.58</v>
      </c>
      <c r="D17" s="38">
        <v>297.94099999999997</v>
      </c>
      <c r="E17" s="44">
        <v>729.47900000000004</v>
      </c>
      <c r="F17" s="38">
        <v>1150</v>
      </c>
      <c r="G17" s="38">
        <v>100</v>
      </c>
      <c r="H17" s="46"/>
      <c r="I17" s="38">
        <v>695</v>
      </c>
      <c r="J17" s="38">
        <v>50</v>
      </c>
      <c r="K17" s="39"/>
      <c r="L17" s="48"/>
      <c r="M17" s="39"/>
      <c r="N17" s="39"/>
      <c r="O17" s="39"/>
      <c r="P17" s="39"/>
      <c r="Q17" s="39"/>
      <c r="R17" s="39"/>
      <c r="S17" s="39"/>
      <c r="T17" s="39"/>
    </row>
    <row r="18" spans="1:20" ht="15.75">
      <c r="A18" s="13">
        <v>41671</v>
      </c>
      <c r="B18" s="47">
        <v>30</v>
      </c>
      <c r="C18" s="38">
        <v>122.58</v>
      </c>
      <c r="D18" s="38">
        <v>297.94099999999997</v>
      </c>
      <c r="E18" s="44">
        <v>729.47900000000004</v>
      </c>
      <c r="F18" s="38">
        <v>1150</v>
      </c>
      <c r="G18" s="38">
        <v>100</v>
      </c>
      <c r="H18" s="46"/>
      <c r="I18" s="38">
        <v>695</v>
      </c>
      <c r="J18" s="38">
        <v>50</v>
      </c>
      <c r="K18" s="39"/>
      <c r="L18" s="48"/>
      <c r="M18" s="39"/>
      <c r="N18" s="39"/>
      <c r="O18" s="39"/>
      <c r="P18" s="39"/>
      <c r="Q18" s="39"/>
      <c r="R18" s="39"/>
      <c r="S18" s="39"/>
      <c r="T18" s="39"/>
    </row>
    <row r="19" spans="1:20" ht="15.75">
      <c r="A19" s="13">
        <v>41699</v>
      </c>
      <c r="B19" s="47">
        <v>31</v>
      </c>
      <c r="C19" s="38">
        <v>122.58</v>
      </c>
      <c r="D19" s="38">
        <v>297.94099999999997</v>
      </c>
      <c r="E19" s="44">
        <v>729.47900000000004</v>
      </c>
      <c r="F19" s="38">
        <v>1150</v>
      </c>
      <c r="G19" s="38">
        <v>100</v>
      </c>
      <c r="H19" s="46"/>
      <c r="I19" s="38">
        <v>695</v>
      </c>
      <c r="J19" s="38">
        <v>50</v>
      </c>
      <c r="K19" s="39"/>
      <c r="L19" s="48"/>
      <c r="M19" s="39"/>
      <c r="N19" s="39"/>
      <c r="O19" s="39"/>
      <c r="P19" s="39"/>
      <c r="Q19" s="39"/>
      <c r="R19" s="39"/>
      <c r="S19" s="39"/>
      <c r="T19" s="39"/>
    </row>
    <row r="20" spans="1:20" ht="15.75">
      <c r="A20" s="13">
        <v>41730</v>
      </c>
      <c r="B20" s="47">
        <v>30</v>
      </c>
      <c r="C20" s="38">
        <v>141.29300000000001</v>
      </c>
      <c r="D20" s="38">
        <v>267.99299999999999</v>
      </c>
      <c r="E20" s="44">
        <v>829.71400000000006</v>
      </c>
      <c r="F20" s="38">
        <v>1239</v>
      </c>
      <c r="G20" s="38">
        <v>100</v>
      </c>
      <c r="H20" s="46"/>
      <c r="I20" s="38">
        <v>695</v>
      </c>
      <c r="J20" s="38">
        <v>50</v>
      </c>
      <c r="K20" s="39"/>
      <c r="L20" s="48"/>
      <c r="M20" s="39"/>
      <c r="N20" s="39"/>
      <c r="O20" s="39"/>
      <c r="P20" s="39"/>
      <c r="Q20" s="39"/>
      <c r="R20" s="39"/>
      <c r="S20" s="39"/>
      <c r="T20" s="39"/>
    </row>
    <row r="21" spans="1:20" ht="15.75">
      <c r="A21" s="13">
        <v>41760</v>
      </c>
      <c r="B21" s="47">
        <v>31</v>
      </c>
      <c r="C21" s="38">
        <v>194.20500000000001</v>
      </c>
      <c r="D21" s="38">
        <v>267.46600000000001</v>
      </c>
      <c r="E21" s="44">
        <v>862.32899999999995</v>
      </c>
      <c r="F21" s="38">
        <v>1324</v>
      </c>
      <c r="G21" s="38">
        <v>75</v>
      </c>
      <c r="H21" s="46"/>
      <c r="I21" s="38">
        <v>695</v>
      </c>
      <c r="J21" s="38">
        <v>50</v>
      </c>
      <c r="K21" s="39"/>
      <c r="L21" s="48"/>
      <c r="M21" s="39"/>
      <c r="N21" s="39"/>
      <c r="O21" s="39"/>
      <c r="P21" s="39"/>
      <c r="Q21" s="39"/>
      <c r="R21" s="39"/>
      <c r="S21" s="39"/>
      <c r="T21" s="39"/>
    </row>
    <row r="22" spans="1:20" ht="15.75">
      <c r="A22" s="13">
        <v>41791</v>
      </c>
      <c r="B22" s="47">
        <v>30</v>
      </c>
      <c r="C22" s="38">
        <v>194.20500000000001</v>
      </c>
      <c r="D22" s="38">
        <v>267.46600000000001</v>
      </c>
      <c r="E22" s="44">
        <v>862.32899999999995</v>
      </c>
      <c r="F22" s="38">
        <v>1324</v>
      </c>
      <c r="G22" s="38">
        <v>50</v>
      </c>
      <c r="H22" s="46"/>
      <c r="I22" s="38">
        <v>695</v>
      </c>
      <c r="J22" s="38">
        <v>50</v>
      </c>
      <c r="K22" s="39"/>
      <c r="L22" s="48"/>
      <c r="M22" s="39"/>
      <c r="N22" s="39"/>
      <c r="O22" s="39"/>
      <c r="P22" s="39"/>
      <c r="Q22" s="39"/>
      <c r="R22" s="39"/>
      <c r="S22" s="39"/>
      <c r="T22" s="39"/>
    </row>
    <row r="23" spans="1:20" ht="15.75">
      <c r="A23" s="13">
        <v>41821</v>
      </c>
      <c r="B23" s="47">
        <v>31</v>
      </c>
      <c r="C23" s="38">
        <v>194.20500000000001</v>
      </c>
      <c r="D23" s="38">
        <v>267.46600000000001</v>
      </c>
      <c r="E23" s="44">
        <v>862.32899999999995</v>
      </c>
      <c r="F23" s="38">
        <v>1324</v>
      </c>
      <c r="G23" s="38">
        <v>50</v>
      </c>
      <c r="H23" s="46"/>
      <c r="I23" s="38">
        <v>695</v>
      </c>
      <c r="J23" s="38">
        <v>0</v>
      </c>
      <c r="K23" s="39"/>
      <c r="L23" s="48"/>
      <c r="M23" s="39"/>
      <c r="N23" s="39"/>
      <c r="O23" s="39"/>
      <c r="P23" s="39"/>
      <c r="Q23" s="39"/>
      <c r="R23" s="39"/>
      <c r="S23" s="39"/>
      <c r="T23" s="39"/>
    </row>
    <row r="24" spans="1:20" ht="15.75">
      <c r="A24" s="13">
        <v>41852</v>
      </c>
      <c r="B24" s="47">
        <v>31</v>
      </c>
      <c r="C24" s="38">
        <v>194.20500000000001</v>
      </c>
      <c r="D24" s="38">
        <v>267.46600000000001</v>
      </c>
      <c r="E24" s="44">
        <v>862.32899999999995</v>
      </c>
      <c r="F24" s="38">
        <v>1324</v>
      </c>
      <c r="G24" s="38">
        <v>50</v>
      </c>
      <c r="H24" s="46"/>
      <c r="I24" s="38">
        <v>695</v>
      </c>
      <c r="J24" s="38">
        <v>0</v>
      </c>
      <c r="K24" s="39"/>
      <c r="L24" s="48"/>
      <c r="M24" s="39"/>
      <c r="N24" s="39"/>
      <c r="O24" s="39"/>
      <c r="P24" s="39"/>
      <c r="Q24" s="39"/>
      <c r="R24" s="39"/>
      <c r="S24" s="39"/>
      <c r="T24" s="39"/>
    </row>
    <row r="25" spans="1:20" ht="15.75">
      <c r="A25" s="13">
        <v>41883</v>
      </c>
      <c r="B25" s="47">
        <v>30</v>
      </c>
      <c r="C25" s="38">
        <v>194.20500000000001</v>
      </c>
      <c r="D25" s="38">
        <v>267.46600000000001</v>
      </c>
      <c r="E25" s="44">
        <v>862.32899999999995</v>
      </c>
      <c r="F25" s="38">
        <v>1324</v>
      </c>
      <c r="G25" s="38">
        <v>50</v>
      </c>
      <c r="H25" s="46"/>
      <c r="I25" s="38">
        <v>695</v>
      </c>
      <c r="J25" s="38">
        <v>0</v>
      </c>
      <c r="K25" s="39"/>
      <c r="L25" s="48"/>
      <c r="M25" s="39"/>
      <c r="N25" s="39"/>
      <c r="O25" s="39"/>
      <c r="P25" s="39"/>
      <c r="Q25" s="39"/>
      <c r="R25" s="39"/>
      <c r="S25" s="39"/>
      <c r="T25" s="39"/>
    </row>
    <row r="26" spans="1:20" ht="15.75">
      <c r="A26" s="13">
        <v>41913</v>
      </c>
      <c r="B26" s="47">
        <v>31</v>
      </c>
      <c r="C26" s="38">
        <v>131.881</v>
      </c>
      <c r="D26" s="38">
        <v>277.16699999999997</v>
      </c>
      <c r="E26" s="44">
        <v>829.952</v>
      </c>
      <c r="F26" s="38">
        <v>1239</v>
      </c>
      <c r="G26" s="38">
        <v>75</v>
      </c>
      <c r="H26" s="46"/>
      <c r="I26" s="38">
        <v>695</v>
      </c>
      <c r="J26" s="38">
        <v>0</v>
      </c>
      <c r="K26" s="39"/>
      <c r="L26" s="48"/>
      <c r="M26" s="39"/>
      <c r="N26" s="39"/>
      <c r="O26" s="39"/>
      <c r="P26" s="39"/>
      <c r="Q26" s="39"/>
      <c r="R26" s="39"/>
      <c r="S26" s="39"/>
      <c r="T26" s="39"/>
    </row>
    <row r="27" spans="1:20" ht="15.75">
      <c r="A27" s="13">
        <v>41944</v>
      </c>
      <c r="B27" s="47">
        <v>30</v>
      </c>
      <c r="C27" s="38">
        <v>122.58</v>
      </c>
      <c r="D27" s="38">
        <v>297.94099999999997</v>
      </c>
      <c r="E27" s="44">
        <v>729.47900000000004</v>
      </c>
      <c r="F27" s="38">
        <v>1150</v>
      </c>
      <c r="G27" s="38">
        <v>100</v>
      </c>
      <c r="H27" s="46"/>
      <c r="I27" s="38">
        <v>695</v>
      </c>
      <c r="J27" s="38">
        <v>50</v>
      </c>
      <c r="K27" s="39"/>
      <c r="L27" s="48"/>
      <c r="M27" s="39"/>
      <c r="N27" s="39"/>
      <c r="O27" s="39"/>
      <c r="P27" s="39"/>
      <c r="Q27" s="39"/>
      <c r="R27" s="39"/>
      <c r="S27" s="39"/>
      <c r="T27" s="39"/>
    </row>
    <row r="28" spans="1:20" ht="15.75">
      <c r="A28" s="13">
        <v>41974</v>
      </c>
      <c r="B28" s="47">
        <v>31</v>
      </c>
      <c r="C28" s="38">
        <v>122.58</v>
      </c>
      <c r="D28" s="38">
        <v>297.94099999999997</v>
      </c>
      <c r="E28" s="44">
        <v>729.47900000000004</v>
      </c>
      <c r="F28" s="38">
        <v>1150</v>
      </c>
      <c r="G28" s="38">
        <v>100</v>
      </c>
      <c r="H28" s="46"/>
      <c r="I28" s="38">
        <v>695</v>
      </c>
      <c r="J28" s="38">
        <v>50</v>
      </c>
      <c r="K28" s="39"/>
      <c r="L28" s="48"/>
      <c r="M28" s="39"/>
      <c r="N28" s="39"/>
      <c r="O28" s="39"/>
      <c r="P28" s="39"/>
      <c r="Q28" s="39"/>
      <c r="R28" s="39"/>
      <c r="S28" s="39"/>
      <c r="T28" s="39"/>
    </row>
    <row r="29" spans="1:20" ht="15.75">
      <c r="A29" s="13">
        <v>42005</v>
      </c>
      <c r="B29" s="47">
        <v>31</v>
      </c>
      <c r="C29" s="38">
        <v>122.58</v>
      </c>
      <c r="D29" s="38">
        <v>297.94099999999997</v>
      </c>
      <c r="E29" s="44">
        <v>729.47900000000004</v>
      </c>
      <c r="F29" s="38">
        <v>1150</v>
      </c>
      <c r="G29" s="38">
        <v>100</v>
      </c>
      <c r="H29" s="46"/>
      <c r="I29" s="38">
        <v>695</v>
      </c>
      <c r="J29" s="38">
        <v>50</v>
      </c>
      <c r="K29" s="39"/>
      <c r="L29" s="48"/>
      <c r="M29" s="39"/>
      <c r="N29" s="39"/>
      <c r="O29" s="39"/>
      <c r="P29" s="39"/>
      <c r="Q29" s="39"/>
      <c r="R29" s="39"/>
      <c r="S29" s="39"/>
      <c r="T29" s="39"/>
    </row>
    <row r="30" spans="1:20" ht="15.75">
      <c r="A30" s="13">
        <v>42036</v>
      </c>
      <c r="B30" s="47">
        <v>28</v>
      </c>
      <c r="C30" s="38">
        <v>122.58</v>
      </c>
      <c r="D30" s="38">
        <v>297.94099999999997</v>
      </c>
      <c r="E30" s="44">
        <v>729.47900000000004</v>
      </c>
      <c r="F30" s="38">
        <v>1150</v>
      </c>
      <c r="G30" s="38">
        <v>100</v>
      </c>
      <c r="H30" s="46"/>
      <c r="I30" s="38">
        <v>695</v>
      </c>
      <c r="J30" s="38">
        <v>50</v>
      </c>
      <c r="K30" s="39"/>
      <c r="L30" s="48"/>
      <c r="M30" s="39"/>
      <c r="N30" s="39"/>
      <c r="O30" s="39"/>
      <c r="P30" s="39"/>
      <c r="Q30" s="39"/>
      <c r="R30" s="39"/>
      <c r="S30" s="39"/>
      <c r="T30" s="39"/>
    </row>
    <row r="31" spans="1:20" ht="15.75">
      <c r="A31" s="13">
        <v>42064</v>
      </c>
      <c r="B31" s="47">
        <v>31</v>
      </c>
      <c r="C31" s="38">
        <v>122.58</v>
      </c>
      <c r="D31" s="38">
        <v>297.94099999999997</v>
      </c>
      <c r="E31" s="44">
        <v>729.47900000000004</v>
      </c>
      <c r="F31" s="38">
        <v>1150</v>
      </c>
      <c r="G31" s="38">
        <v>100</v>
      </c>
      <c r="H31" s="46"/>
      <c r="I31" s="38">
        <v>695</v>
      </c>
      <c r="J31" s="38">
        <v>50</v>
      </c>
      <c r="K31" s="39"/>
      <c r="L31" s="48"/>
      <c r="M31" s="39"/>
      <c r="N31" s="39"/>
      <c r="O31" s="39"/>
      <c r="P31" s="39"/>
      <c r="Q31" s="39"/>
      <c r="R31" s="39"/>
      <c r="S31" s="39"/>
      <c r="T31" s="39"/>
    </row>
    <row r="32" spans="1:20" ht="15.75">
      <c r="A32" s="13">
        <v>42095</v>
      </c>
      <c r="B32" s="47">
        <v>30</v>
      </c>
      <c r="C32" s="38">
        <v>141.29300000000001</v>
      </c>
      <c r="D32" s="38">
        <v>267.99299999999999</v>
      </c>
      <c r="E32" s="44">
        <v>829.71400000000006</v>
      </c>
      <c r="F32" s="38">
        <v>1239</v>
      </c>
      <c r="G32" s="38">
        <v>100</v>
      </c>
      <c r="H32" s="46"/>
      <c r="I32" s="38">
        <v>695</v>
      </c>
      <c r="J32" s="38">
        <v>50</v>
      </c>
      <c r="K32" s="39"/>
      <c r="L32" s="48"/>
      <c r="M32" s="39"/>
      <c r="N32" s="39"/>
      <c r="O32" s="39"/>
      <c r="P32" s="39"/>
      <c r="Q32" s="39"/>
      <c r="R32" s="39"/>
      <c r="S32" s="39"/>
      <c r="T32" s="39"/>
    </row>
    <row r="33" spans="1:20" ht="15.75">
      <c r="A33" s="13">
        <v>42125</v>
      </c>
      <c r="B33" s="47">
        <v>31</v>
      </c>
      <c r="C33" s="38">
        <v>194.20500000000001</v>
      </c>
      <c r="D33" s="38">
        <v>267.46600000000001</v>
      </c>
      <c r="E33" s="44">
        <v>862.32899999999995</v>
      </c>
      <c r="F33" s="38">
        <v>1324</v>
      </c>
      <c r="G33" s="38">
        <v>75</v>
      </c>
      <c r="H33" s="46"/>
      <c r="I33" s="38">
        <v>695</v>
      </c>
      <c r="J33" s="38">
        <v>50</v>
      </c>
      <c r="K33" s="39"/>
      <c r="L33" s="48"/>
      <c r="M33" s="39"/>
      <c r="N33" s="39"/>
      <c r="O33" s="39"/>
      <c r="P33" s="39"/>
      <c r="Q33" s="39"/>
      <c r="R33" s="39"/>
      <c r="S33" s="39"/>
      <c r="T33" s="39"/>
    </row>
    <row r="34" spans="1:20" ht="15.75">
      <c r="A34" s="13">
        <v>42156</v>
      </c>
      <c r="B34" s="47">
        <v>30</v>
      </c>
      <c r="C34" s="38">
        <v>194.20500000000001</v>
      </c>
      <c r="D34" s="38">
        <v>267.46600000000001</v>
      </c>
      <c r="E34" s="44">
        <v>862.32899999999995</v>
      </c>
      <c r="F34" s="38">
        <v>1324</v>
      </c>
      <c r="G34" s="38">
        <v>50</v>
      </c>
      <c r="H34" s="46"/>
      <c r="I34" s="38">
        <v>695</v>
      </c>
      <c r="J34" s="38">
        <v>50</v>
      </c>
      <c r="K34" s="39"/>
      <c r="L34" s="48"/>
      <c r="M34" s="39"/>
      <c r="N34" s="39"/>
      <c r="O34" s="39"/>
      <c r="P34" s="39"/>
      <c r="Q34" s="39"/>
      <c r="R34" s="39"/>
      <c r="S34" s="39"/>
      <c r="T34" s="39"/>
    </row>
    <row r="35" spans="1:20" ht="15.75">
      <c r="A35" s="13">
        <v>42186</v>
      </c>
      <c r="B35" s="47">
        <v>31</v>
      </c>
      <c r="C35" s="38">
        <v>194.20500000000001</v>
      </c>
      <c r="D35" s="38">
        <v>267.46600000000001</v>
      </c>
      <c r="E35" s="44">
        <v>862.32899999999995</v>
      </c>
      <c r="F35" s="38">
        <v>1324</v>
      </c>
      <c r="G35" s="38">
        <v>50</v>
      </c>
      <c r="H35" s="46"/>
      <c r="I35" s="38">
        <v>695</v>
      </c>
      <c r="J35" s="38">
        <v>0</v>
      </c>
      <c r="K35" s="39"/>
      <c r="L35" s="48"/>
      <c r="M35" s="39"/>
      <c r="N35" s="39"/>
      <c r="O35" s="39"/>
      <c r="P35" s="39"/>
      <c r="Q35" s="39"/>
      <c r="R35" s="39"/>
      <c r="S35" s="39"/>
      <c r="T35" s="39"/>
    </row>
    <row r="36" spans="1:20" ht="15.75">
      <c r="A36" s="13">
        <v>42217</v>
      </c>
      <c r="B36" s="47">
        <v>31</v>
      </c>
      <c r="C36" s="38">
        <v>194.20500000000001</v>
      </c>
      <c r="D36" s="38">
        <v>267.46600000000001</v>
      </c>
      <c r="E36" s="44">
        <v>862.32899999999995</v>
      </c>
      <c r="F36" s="38">
        <v>1324</v>
      </c>
      <c r="G36" s="38">
        <v>50</v>
      </c>
      <c r="H36" s="46"/>
      <c r="I36" s="38">
        <v>695</v>
      </c>
      <c r="J36" s="38">
        <v>0</v>
      </c>
      <c r="K36" s="39"/>
      <c r="L36" s="48"/>
      <c r="M36" s="39"/>
      <c r="N36" s="39"/>
      <c r="O36" s="39"/>
      <c r="P36" s="39"/>
      <c r="Q36" s="39"/>
      <c r="R36" s="39"/>
      <c r="S36" s="39"/>
      <c r="T36" s="39"/>
    </row>
    <row r="37" spans="1:20" ht="15.75">
      <c r="A37" s="13">
        <v>42248</v>
      </c>
      <c r="B37" s="47">
        <v>30</v>
      </c>
      <c r="C37" s="38">
        <v>194.20500000000001</v>
      </c>
      <c r="D37" s="38">
        <v>267.46600000000001</v>
      </c>
      <c r="E37" s="44">
        <v>862.32899999999995</v>
      </c>
      <c r="F37" s="38">
        <v>1324</v>
      </c>
      <c r="G37" s="38">
        <v>50</v>
      </c>
      <c r="H37" s="46"/>
      <c r="I37" s="38">
        <v>695</v>
      </c>
      <c r="J37" s="38">
        <v>0</v>
      </c>
      <c r="K37" s="39"/>
      <c r="L37" s="48"/>
      <c r="M37" s="39"/>
      <c r="N37" s="39"/>
      <c r="O37" s="39"/>
      <c r="P37" s="39"/>
      <c r="Q37" s="39"/>
      <c r="R37" s="39"/>
      <c r="S37" s="39"/>
      <c r="T37" s="39"/>
    </row>
    <row r="38" spans="1:20" ht="15.75">
      <c r="A38" s="13">
        <v>42278</v>
      </c>
      <c r="B38" s="47">
        <v>31</v>
      </c>
      <c r="C38" s="38">
        <v>131.881</v>
      </c>
      <c r="D38" s="38">
        <v>277.16699999999997</v>
      </c>
      <c r="E38" s="44">
        <v>829.952</v>
      </c>
      <c r="F38" s="38">
        <v>1239</v>
      </c>
      <c r="G38" s="38">
        <v>75</v>
      </c>
      <c r="H38" s="46"/>
      <c r="I38" s="38">
        <v>695</v>
      </c>
      <c r="J38" s="38">
        <v>0</v>
      </c>
      <c r="K38" s="39"/>
      <c r="L38" s="48"/>
      <c r="M38" s="39"/>
      <c r="N38" s="39"/>
      <c r="O38" s="39"/>
      <c r="P38" s="39"/>
      <c r="Q38" s="39"/>
      <c r="R38" s="39"/>
      <c r="S38" s="39"/>
      <c r="T38" s="39"/>
    </row>
    <row r="39" spans="1:20" ht="15.75">
      <c r="A39" s="13">
        <v>42309</v>
      </c>
      <c r="B39" s="47">
        <v>30</v>
      </c>
      <c r="C39" s="38">
        <v>122.58</v>
      </c>
      <c r="D39" s="38">
        <v>297.94099999999997</v>
      </c>
      <c r="E39" s="44">
        <v>729.47900000000004</v>
      </c>
      <c r="F39" s="38">
        <v>1150</v>
      </c>
      <c r="G39" s="38">
        <v>100</v>
      </c>
      <c r="H39" s="46"/>
      <c r="I39" s="38">
        <v>695</v>
      </c>
      <c r="J39" s="38">
        <v>50</v>
      </c>
      <c r="K39" s="39"/>
      <c r="L39" s="48"/>
      <c r="M39" s="39"/>
      <c r="N39" s="39"/>
      <c r="O39" s="39"/>
      <c r="P39" s="39"/>
      <c r="Q39" s="39"/>
      <c r="R39" s="39"/>
      <c r="S39" s="39"/>
      <c r="T39" s="39"/>
    </row>
    <row r="40" spans="1:20" ht="15.75">
      <c r="A40" s="13">
        <v>42339</v>
      </c>
      <c r="B40" s="47">
        <v>31</v>
      </c>
      <c r="C40" s="38">
        <v>122.58</v>
      </c>
      <c r="D40" s="38">
        <v>297.94099999999997</v>
      </c>
      <c r="E40" s="44">
        <v>729.47900000000004</v>
      </c>
      <c r="F40" s="38">
        <v>1150</v>
      </c>
      <c r="G40" s="38">
        <v>100</v>
      </c>
      <c r="H40" s="46"/>
      <c r="I40" s="38">
        <v>695</v>
      </c>
      <c r="J40" s="38">
        <v>50</v>
      </c>
      <c r="K40" s="39"/>
      <c r="L40" s="48"/>
      <c r="M40" s="39"/>
      <c r="N40" s="39"/>
      <c r="O40" s="39"/>
      <c r="P40" s="39"/>
      <c r="Q40" s="39"/>
      <c r="R40" s="39"/>
      <c r="S40" s="39"/>
      <c r="T40" s="39"/>
    </row>
    <row r="41" spans="1:20" ht="15.75">
      <c r="A41" s="13">
        <v>42370</v>
      </c>
      <c r="B41" s="47">
        <v>31</v>
      </c>
      <c r="C41" s="38">
        <v>122.58</v>
      </c>
      <c r="D41" s="38">
        <v>297.94099999999997</v>
      </c>
      <c r="E41" s="44">
        <v>729.47900000000004</v>
      </c>
      <c r="F41" s="38">
        <v>1150</v>
      </c>
      <c r="G41" s="38">
        <v>100</v>
      </c>
      <c r="H41" s="46"/>
      <c r="I41" s="38">
        <v>695</v>
      </c>
      <c r="J41" s="38">
        <v>50</v>
      </c>
      <c r="K41" s="39"/>
      <c r="L41" s="48"/>
      <c r="M41" s="39"/>
      <c r="N41" s="39"/>
      <c r="O41" s="39"/>
      <c r="P41" s="39"/>
      <c r="Q41" s="39"/>
      <c r="R41" s="39"/>
      <c r="S41" s="39"/>
      <c r="T41" s="39"/>
    </row>
    <row r="42" spans="1:20" ht="15.75">
      <c r="A42" s="13">
        <v>42401</v>
      </c>
      <c r="B42" s="47">
        <v>29</v>
      </c>
      <c r="C42" s="38">
        <v>122.58</v>
      </c>
      <c r="D42" s="38">
        <v>297.94099999999997</v>
      </c>
      <c r="E42" s="44">
        <v>729.47900000000004</v>
      </c>
      <c r="F42" s="38">
        <v>1150</v>
      </c>
      <c r="G42" s="38">
        <v>100</v>
      </c>
      <c r="H42" s="46"/>
      <c r="I42" s="38">
        <v>695</v>
      </c>
      <c r="J42" s="38">
        <v>50</v>
      </c>
      <c r="K42" s="39"/>
      <c r="L42" s="48"/>
      <c r="M42" s="39"/>
      <c r="N42" s="39"/>
      <c r="O42" s="39"/>
      <c r="P42" s="39"/>
      <c r="Q42" s="39"/>
      <c r="R42" s="39"/>
      <c r="S42" s="39"/>
      <c r="T42" s="39"/>
    </row>
    <row r="43" spans="1:20" ht="15.75">
      <c r="A43" s="13">
        <v>42430</v>
      </c>
      <c r="B43" s="47">
        <v>31</v>
      </c>
      <c r="C43" s="38">
        <v>122.58</v>
      </c>
      <c r="D43" s="38">
        <v>297.94099999999997</v>
      </c>
      <c r="E43" s="44">
        <v>729.47900000000004</v>
      </c>
      <c r="F43" s="38">
        <v>1150</v>
      </c>
      <c r="G43" s="38">
        <v>100</v>
      </c>
      <c r="H43" s="46"/>
      <c r="I43" s="38">
        <v>695</v>
      </c>
      <c r="J43" s="38">
        <v>50</v>
      </c>
      <c r="K43" s="39"/>
      <c r="L43" s="48"/>
      <c r="M43" s="39"/>
      <c r="N43" s="39"/>
      <c r="O43" s="39"/>
      <c r="P43" s="39"/>
      <c r="Q43" s="39"/>
      <c r="R43" s="39"/>
      <c r="S43" s="39"/>
      <c r="T43" s="39"/>
    </row>
    <row r="44" spans="1:20" ht="15.75">
      <c r="A44" s="13">
        <v>42461</v>
      </c>
      <c r="B44" s="47">
        <v>30</v>
      </c>
      <c r="C44" s="38">
        <v>141.29300000000001</v>
      </c>
      <c r="D44" s="38">
        <v>267.99299999999999</v>
      </c>
      <c r="E44" s="44">
        <v>829.71400000000006</v>
      </c>
      <c r="F44" s="38">
        <v>1239</v>
      </c>
      <c r="G44" s="38">
        <v>100</v>
      </c>
      <c r="H44" s="46"/>
      <c r="I44" s="38">
        <v>695</v>
      </c>
      <c r="J44" s="38">
        <v>50</v>
      </c>
      <c r="K44" s="39"/>
      <c r="L44" s="48"/>
      <c r="M44" s="39"/>
      <c r="N44" s="39"/>
      <c r="O44" s="39"/>
      <c r="P44" s="39"/>
      <c r="Q44" s="39"/>
      <c r="R44" s="39"/>
      <c r="S44" s="39"/>
      <c r="T44" s="39"/>
    </row>
    <row r="45" spans="1:20" ht="15.75">
      <c r="A45" s="13">
        <v>42491</v>
      </c>
      <c r="B45" s="47">
        <v>31</v>
      </c>
      <c r="C45" s="38">
        <v>194.20500000000001</v>
      </c>
      <c r="D45" s="38">
        <v>267.46600000000001</v>
      </c>
      <c r="E45" s="44">
        <v>812.32899999999995</v>
      </c>
      <c r="F45" s="38">
        <v>1274</v>
      </c>
      <c r="G45" s="38">
        <v>75</v>
      </c>
      <c r="H45" s="46"/>
      <c r="I45" s="38">
        <v>695</v>
      </c>
      <c r="J45" s="38">
        <v>50</v>
      </c>
      <c r="K45" s="39"/>
      <c r="L45" s="48"/>
      <c r="M45" s="39"/>
      <c r="N45" s="39"/>
      <c r="O45" s="39"/>
      <c r="P45" s="39"/>
      <c r="Q45" s="39"/>
      <c r="R45" s="39"/>
      <c r="S45" s="39"/>
      <c r="T45" s="39"/>
    </row>
    <row r="46" spans="1:20" ht="15.75">
      <c r="A46" s="13">
        <v>42522</v>
      </c>
      <c r="B46" s="47">
        <v>30</v>
      </c>
      <c r="C46" s="38">
        <v>194.20500000000001</v>
      </c>
      <c r="D46" s="38">
        <v>267.46600000000001</v>
      </c>
      <c r="E46" s="44">
        <v>812.32899999999995</v>
      </c>
      <c r="F46" s="38">
        <v>1274</v>
      </c>
      <c r="G46" s="38">
        <v>50</v>
      </c>
      <c r="H46" s="46"/>
      <c r="I46" s="38">
        <v>695</v>
      </c>
      <c r="J46" s="38">
        <v>50</v>
      </c>
      <c r="K46" s="39"/>
      <c r="L46" s="48"/>
      <c r="M46" s="39"/>
      <c r="N46" s="39"/>
      <c r="O46" s="39"/>
      <c r="P46" s="39"/>
      <c r="Q46" s="39"/>
      <c r="R46" s="39"/>
      <c r="S46" s="39"/>
      <c r="T46" s="39"/>
    </row>
    <row r="47" spans="1:20" ht="15.75">
      <c r="A47" s="13">
        <v>42552</v>
      </c>
      <c r="B47" s="47">
        <v>31</v>
      </c>
      <c r="C47" s="38">
        <v>194.20500000000001</v>
      </c>
      <c r="D47" s="38">
        <v>267.46600000000001</v>
      </c>
      <c r="E47" s="44">
        <v>812.32899999999995</v>
      </c>
      <c r="F47" s="38">
        <v>1274</v>
      </c>
      <c r="G47" s="38">
        <v>50</v>
      </c>
      <c r="H47" s="46"/>
      <c r="I47" s="38">
        <v>695</v>
      </c>
      <c r="J47" s="38">
        <v>0</v>
      </c>
      <c r="K47" s="39"/>
      <c r="L47" s="48"/>
      <c r="M47" s="39"/>
      <c r="N47" s="39"/>
      <c r="O47" s="39"/>
      <c r="P47" s="39"/>
      <c r="Q47" s="39"/>
      <c r="R47" s="39"/>
      <c r="S47" s="39"/>
      <c r="T47" s="39"/>
    </row>
    <row r="48" spans="1:20" ht="15.75">
      <c r="A48" s="13">
        <v>42583</v>
      </c>
      <c r="B48" s="47">
        <v>31</v>
      </c>
      <c r="C48" s="38">
        <v>194.20500000000001</v>
      </c>
      <c r="D48" s="38">
        <v>267.46600000000001</v>
      </c>
      <c r="E48" s="44">
        <v>812.32899999999995</v>
      </c>
      <c r="F48" s="38">
        <v>1274</v>
      </c>
      <c r="G48" s="38">
        <v>50</v>
      </c>
      <c r="H48" s="46"/>
      <c r="I48" s="38">
        <v>695</v>
      </c>
      <c r="J48" s="38">
        <v>0</v>
      </c>
      <c r="K48" s="39"/>
      <c r="L48" s="48"/>
      <c r="M48" s="39"/>
      <c r="N48" s="39"/>
      <c r="O48" s="39"/>
      <c r="P48" s="39"/>
      <c r="Q48" s="39"/>
      <c r="R48" s="39"/>
      <c r="S48" s="39"/>
      <c r="T48" s="39"/>
    </row>
    <row r="49" spans="1:20" ht="15.75">
      <c r="A49" s="13">
        <v>42614</v>
      </c>
      <c r="B49" s="47">
        <v>30</v>
      </c>
      <c r="C49" s="38">
        <v>194.20500000000001</v>
      </c>
      <c r="D49" s="38">
        <v>267.46600000000001</v>
      </c>
      <c r="E49" s="44">
        <v>812.32899999999995</v>
      </c>
      <c r="F49" s="38">
        <v>1274</v>
      </c>
      <c r="G49" s="38">
        <v>50</v>
      </c>
      <c r="H49" s="46"/>
      <c r="I49" s="38">
        <v>695</v>
      </c>
      <c r="J49" s="38">
        <v>0</v>
      </c>
      <c r="K49" s="39"/>
      <c r="L49" s="48"/>
      <c r="M49" s="39"/>
      <c r="N49" s="39"/>
      <c r="O49" s="39"/>
      <c r="P49" s="39"/>
      <c r="Q49" s="39"/>
      <c r="R49" s="39"/>
      <c r="S49" s="39"/>
      <c r="T49" s="39"/>
    </row>
    <row r="50" spans="1:20" ht="15.75">
      <c r="A50" s="13">
        <v>42644</v>
      </c>
      <c r="B50" s="47">
        <v>31</v>
      </c>
      <c r="C50" s="38">
        <v>131.881</v>
      </c>
      <c r="D50" s="38">
        <v>277.16699999999997</v>
      </c>
      <c r="E50" s="44">
        <v>829.952</v>
      </c>
      <c r="F50" s="38">
        <v>1239</v>
      </c>
      <c r="G50" s="38">
        <v>75</v>
      </c>
      <c r="H50" s="46"/>
      <c r="I50" s="38">
        <v>695</v>
      </c>
      <c r="J50" s="38">
        <v>0</v>
      </c>
      <c r="K50" s="39"/>
      <c r="L50" s="48"/>
      <c r="M50" s="39"/>
      <c r="N50" s="39"/>
      <c r="O50" s="39"/>
      <c r="P50" s="39"/>
      <c r="Q50" s="39"/>
      <c r="R50" s="39"/>
      <c r="S50" s="39"/>
      <c r="T50" s="39"/>
    </row>
    <row r="51" spans="1:20" ht="15.75">
      <c r="A51" s="13">
        <v>42675</v>
      </c>
      <c r="B51" s="47">
        <v>30</v>
      </c>
      <c r="C51" s="38">
        <v>122.58</v>
      </c>
      <c r="D51" s="38">
        <v>297.94099999999997</v>
      </c>
      <c r="E51" s="44">
        <v>729.47900000000004</v>
      </c>
      <c r="F51" s="38">
        <v>1150</v>
      </c>
      <c r="G51" s="38">
        <v>100</v>
      </c>
      <c r="H51" s="46"/>
      <c r="I51" s="38">
        <v>695</v>
      </c>
      <c r="J51" s="38">
        <v>50</v>
      </c>
      <c r="K51" s="39"/>
      <c r="L51" s="48"/>
      <c r="M51" s="39"/>
      <c r="N51" s="39"/>
      <c r="O51" s="39"/>
      <c r="P51" s="39"/>
      <c r="Q51" s="39"/>
      <c r="R51" s="39"/>
      <c r="S51" s="39"/>
      <c r="T51" s="39"/>
    </row>
    <row r="52" spans="1:20" ht="15.75">
      <c r="A52" s="13">
        <v>42705</v>
      </c>
      <c r="B52" s="47">
        <v>31</v>
      </c>
      <c r="C52" s="38">
        <v>122.58</v>
      </c>
      <c r="D52" s="38">
        <v>297.94099999999997</v>
      </c>
      <c r="E52" s="44">
        <v>729.47900000000004</v>
      </c>
      <c r="F52" s="38">
        <v>1150</v>
      </c>
      <c r="G52" s="38">
        <v>100</v>
      </c>
      <c r="H52" s="46"/>
      <c r="I52" s="38">
        <v>695</v>
      </c>
      <c r="J52" s="38">
        <v>50</v>
      </c>
      <c r="K52" s="39"/>
      <c r="L52" s="48"/>
      <c r="M52" s="39"/>
      <c r="N52" s="39"/>
      <c r="O52" s="39"/>
      <c r="P52" s="39"/>
      <c r="Q52" s="39"/>
      <c r="R52" s="39"/>
      <c r="S52" s="39"/>
      <c r="T52" s="39"/>
    </row>
    <row r="53" spans="1:20" ht="15.75">
      <c r="A53" s="13">
        <v>42736</v>
      </c>
      <c r="B53" s="47">
        <v>31</v>
      </c>
      <c r="C53" s="38">
        <v>122.58</v>
      </c>
      <c r="D53" s="38">
        <v>297.94099999999997</v>
      </c>
      <c r="E53" s="44">
        <v>729.47900000000004</v>
      </c>
      <c r="F53" s="38">
        <v>1150</v>
      </c>
      <c r="G53" s="38">
        <v>100</v>
      </c>
      <c r="H53" s="46"/>
      <c r="I53" s="38">
        <v>695</v>
      </c>
      <c r="J53" s="38">
        <v>50</v>
      </c>
      <c r="K53" s="39"/>
      <c r="L53" s="48"/>
      <c r="M53" s="39"/>
      <c r="N53" s="39"/>
      <c r="O53" s="39"/>
      <c r="P53" s="39"/>
      <c r="Q53" s="39"/>
      <c r="R53" s="39"/>
      <c r="S53" s="39"/>
      <c r="T53" s="39"/>
    </row>
    <row r="54" spans="1:20" ht="15.75">
      <c r="A54" s="13">
        <v>42767</v>
      </c>
      <c r="B54" s="47">
        <v>28</v>
      </c>
      <c r="C54" s="38">
        <v>122.58</v>
      </c>
      <c r="D54" s="38">
        <v>297.94099999999997</v>
      </c>
      <c r="E54" s="44">
        <v>729.47900000000004</v>
      </c>
      <c r="F54" s="38">
        <v>1150</v>
      </c>
      <c r="G54" s="38">
        <v>100</v>
      </c>
      <c r="H54" s="46"/>
      <c r="I54" s="38">
        <v>695</v>
      </c>
      <c r="J54" s="38">
        <v>50</v>
      </c>
      <c r="K54" s="39"/>
      <c r="L54" s="48"/>
      <c r="M54" s="39"/>
      <c r="N54" s="39"/>
      <c r="O54" s="39"/>
      <c r="P54" s="39"/>
      <c r="Q54" s="39"/>
      <c r="R54" s="39"/>
      <c r="S54" s="39"/>
      <c r="T54" s="39"/>
    </row>
    <row r="55" spans="1:20" ht="15.75">
      <c r="A55" s="13">
        <v>42795</v>
      </c>
      <c r="B55" s="47">
        <v>31</v>
      </c>
      <c r="C55" s="38">
        <v>122.58</v>
      </c>
      <c r="D55" s="38">
        <v>297.94099999999997</v>
      </c>
      <c r="E55" s="44">
        <v>729.47900000000004</v>
      </c>
      <c r="F55" s="38">
        <v>1150</v>
      </c>
      <c r="G55" s="38">
        <v>100</v>
      </c>
      <c r="H55" s="46"/>
      <c r="I55" s="38">
        <v>695</v>
      </c>
      <c r="J55" s="38">
        <v>50</v>
      </c>
      <c r="K55" s="39"/>
      <c r="L55" s="48"/>
      <c r="M55" s="39"/>
      <c r="N55" s="39"/>
      <c r="O55" s="39"/>
      <c r="P55" s="39"/>
      <c r="Q55" s="39"/>
      <c r="R55" s="39"/>
      <c r="S55" s="39"/>
      <c r="T55" s="39"/>
    </row>
    <row r="56" spans="1:20" ht="15.75">
      <c r="A56" s="13">
        <v>42826</v>
      </c>
      <c r="B56" s="47">
        <v>30</v>
      </c>
      <c r="C56" s="38">
        <v>141.29300000000001</v>
      </c>
      <c r="D56" s="38">
        <v>267.99299999999999</v>
      </c>
      <c r="E56" s="44">
        <v>829.71400000000006</v>
      </c>
      <c r="F56" s="38">
        <v>1239</v>
      </c>
      <c r="G56" s="38">
        <v>100</v>
      </c>
      <c r="H56" s="46"/>
      <c r="I56" s="38">
        <v>695</v>
      </c>
      <c r="J56" s="38">
        <v>50</v>
      </c>
      <c r="K56" s="39"/>
      <c r="L56" s="48"/>
      <c r="M56" s="39"/>
      <c r="N56" s="39"/>
      <c r="O56" s="39"/>
      <c r="P56" s="39"/>
      <c r="Q56" s="39"/>
      <c r="R56" s="39"/>
      <c r="S56" s="39"/>
      <c r="T56" s="39"/>
    </row>
    <row r="57" spans="1:20" ht="15.75">
      <c r="A57" s="13">
        <v>42856</v>
      </c>
      <c r="B57" s="47">
        <v>31</v>
      </c>
      <c r="C57" s="38">
        <v>194.20500000000001</v>
      </c>
      <c r="D57" s="38">
        <v>267.46600000000001</v>
      </c>
      <c r="E57" s="44">
        <v>812.32899999999995</v>
      </c>
      <c r="F57" s="38">
        <v>1274</v>
      </c>
      <c r="G57" s="38">
        <v>75</v>
      </c>
      <c r="H57" s="46">
        <v>400</v>
      </c>
      <c r="I57" s="38">
        <v>695</v>
      </c>
      <c r="J57" s="38">
        <v>50</v>
      </c>
      <c r="K57" s="39"/>
      <c r="L57" s="48"/>
      <c r="M57" s="39"/>
      <c r="N57" s="39"/>
      <c r="O57" s="39"/>
      <c r="P57" s="39"/>
      <c r="Q57" s="39"/>
      <c r="R57" s="39"/>
      <c r="S57" s="39"/>
      <c r="T57" s="39"/>
    </row>
    <row r="58" spans="1:20" ht="15.75">
      <c r="A58" s="13">
        <v>42887</v>
      </c>
      <c r="B58" s="47">
        <v>30</v>
      </c>
      <c r="C58" s="38">
        <v>194.20500000000001</v>
      </c>
      <c r="D58" s="38">
        <v>267.46600000000001</v>
      </c>
      <c r="E58" s="44">
        <v>812.32899999999995</v>
      </c>
      <c r="F58" s="38">
        <v>1274</v>
      </c>
      <c r="G58" s="38">
        <v>50</v>
      </c>
      <c r="H58" s="46">
        <v>400</v>
      </c>
      <c r="I58" s="38">
        <v>695</v>
      </c>
      <c r="J58" s="38">
        <v>50</v>
      </c>
      <c r="K58" s="39"/>
      <c r="L58" s="48"/>
      <c r="M58" s="39"/>
      <c r="N58" s="39"/>
      <c r="O58" s="39"/>
      <c r="P58" s="39"/>
      <c r="Q58" s="39"/>
      <c r="R58" s="39"/>
      <c r="S58" s="39"/>
      <c r="T58" s="39"/>
    </row>
    <row r="59" spans="1:20" ht="15.75">
      <c r="A59" s="13">
        <v>42917</v>
      </c>
      <c r="B59" s="47">
        <v>31</v>
      </c>
      <c r="C59" s="38">
        <v>194.20500000000001</v>
      </c>
      <c r="D59" s="38">
        <v>267.46600000000001</v>
      </c>
      <c r="E59" s="44">
        <v>812.32899999999995</v>
      </c>
      <c r="F59" s="38">
        <v>1274</v>
      </c>
      <c r="G59" s="38">
        <v>50</v>
      </c>
      <c r="H59" s="46">
        <v>400</v>
      </c>
      <c r="I59" s="38">
        <v>695</v>
      </c>
      <c r="J59" s="38">
        <v>0</v>
      </c>
      <c r="K59" s="39"/>
      <c r="L59" s="48"/>
      <c r="M59" s="39"/>
      <c r="N59" s="39"/>
      <c r="O59" s="39"/>
      <c r="P59" s="39"/>
      <c r="Q59" s="39"/>
      <c r="R59" s="39"/>
      <c r="S59" s="39"/>
      <c r="T59" s="39"/>
    </row>
    <row r="60" spans="1:20" ht="15.75">
      <c r="A60" s="13">
        <v>42948</v>
      </c>
      <c r="B60" s="47">
        <v>31</v>
      </c>
      <c r="C60" s="38">
        <v>194.20500000000001</v>
      </c>
      <c r="D60" s="38">
        <v>267.46600000000001</v>
      </c>
      <c r="E60" s="44">
        <v>812.32899999999995</v>
      </c>
      <c r="F60" s="38">
        <v>1274</v>
      </c>
      <c r="G60" s="38">
        <v>50</v>
      </c>
      <c r="H60" s="46">
        <v>400</v>
      </c>
      <c r="I60" s="38">
        <v>695</v>
      </c>
      <c r="J60" s="38">
        <v>0</v>
      </c>
      <c r="K60" s="39"/>
      <c r="L60" s="48"/>
      <c r="M60" s="39"/>
      <c r="N60" s="39"/>
      <c r="O60" s="39"/>
      <c r="P60" s="39"/>
      <c r="Q60" s="39"/>
      <c r="R60" s="39"/>
      <c r="S60" s="39"/>
      <c r="T60" s="39"/>
    </row>
    <row r="61" spans="1:20" ht="15.75">
      <c r="A61" s="13">
        <v>42979</v>
      </c>
      <c r="B61" s="47">
        <v>30</v>
      </c>
      <c r="C61" s="38">
        <v>194.20500000000001</v>
      </c>
      <c r="D61" s="38">
        <v>267.46600000000001</v>
      </c>
      <c r="E61" s="44">
        <v>812.32899999999995</v>
      </c>
      <c r="F61" s="38">
        <v>1274</v>
      </c>
      <c r="G61" s="38">
        <v>50</v>
      </c>
      <c r="H61" s="46">
        <v>400</v>
      </c>
      <c r="I61" s="38">
        <v>695</v>
      </c>
      <c r="J61" s="38">
        <v>0</v>
      </c>
      <c r="K61" s="39"/>
      <c r="L61" s="48"/>
      <c r="M61" s="39"/>
      <c r="N61" s="39"/>
      <c r="O61" s="39"/>
      <c r="P61" s="39"/>
      <c r="Q61" s="39"/>
      <c r="R61" s="39"/>
      <c r="S61" s="39"/>
      <c r="T61" s="39"/>
    </row>
    <row r="62" spans="1:20" ht="15.75">
      <c r="A62" s="13">
        <v>43009</v>
      </c>
      <c r="B62" s="47">
        <v>31</v>
      </c>
      <c r="C62" s="38">
        <v>131.881</v>
      </c>
      <c r="D62" s="38">
        <v>277.16699999999997</v>
      </c>
      <c r="E62" s="44">
        <v>829.952</v>
      </c>
      <c r="F62" s="38">
        <v>1239</v>
      </c>
      <c r="G62" s="38">
        <v>75</v>
      </c>
      <c r="H62" s="46">
        <v>400</v>
      </c>
      <c r="I62" s="38">
        <v>695</v>
      </c>
      <c r="J62" s="38">
        <v>0</v>
      </c>
      <c r="K62" s="39"/>
      <c r="L62" s="48"/>
      <c r="M62" s="39"/>
      <c r="N62" s="39"/>
      <c r="O62" s="39"/>
      <c r="P62" s="39"/>
      <c r="Q62" s="39"/>
      <c r="R62" s="39"/>
      <c r="S62" s="39"/>
      <c r="T62" s="39"/>
    </row>
    <row r="63" spans="1:20" ht="15.75">
      <c r="A63" s="13">
        <v>43040</v>
      </c>
      <c r="B63" s="47">
        <v>30</v>
      </c>
      <c r="C63" s="38">
        <v>122.58</v>
      </c>
      <c r="D63" s="38">
        <v>297.94099999999997</v>
      </c>
      <c r="E63" s="44">
        <v>729.47900000000004</v>
      </c>
      <c r="F63" s="38">
        <v>1150</v>
      </c>
      <c r="G63" s="38">
        <v>100</v>
      </c>
      <c r="H63" s="46">
        <v>400</v>
      </c>
      <c r="I63" s="38">
        <v>695</v>
      </c>
      <c r="J63" s="38">
        <v>50</v>
      </c>
      <c r="K63" s="39"/>
      <c r="L63" s="48"/>
      <c r="M63" s="39"/>
      <c r="N63" s="39"/>
      <c r="O63" s="39"/>
      <c r="P63" s="39"/>
      <c r="Q63" s="39"/>
      <c r="R63" s="39"/>
      <c r="S63" s="39"/>
      <c r="T63" s="39"/>
    </row>
    <row r="64" spans="1:20" ht="15.75">
      <c r="A64" s="13">
        <v>43070</v>
      </c>
      <c r="B64" s="47">
        <v>31</v>
      </c>
      <c r="C64" s="38">
        <v>122.58</v>
      </c>
      <c r="D64" s="38">
        <v>297.94099999999997</v>
      </c>
      <c r="E64" s="44">
        <v>729.47900000000004</v>
      </c>
      <c r="F64" s="38">
        <v>1150</v>
      </c>
      <c r="G64" s="38">
        <v>100</v>
      </c>
      <c r="H64" s="46">
        <v>400</v>
      </c>
      <c r="I64" s="38">
        <v>695</v>
      </c>
      <c r="J64" s="38">
        <v>50</v>
      </c>
      <c r="K64" s="39"/>
      <c r="L64" s="48"/>
      <c r="M64" s="39"/>
      <c r="N64" s="39"/>
      <c r="O64" s="39"/>
      <c r="P64" s="39"/>
      <c r="Q64" s="39"/>
      <c r="R64" s="39"/>
      <c r="S64" s="39"/>
      <c r="T64" s="39"/>
    </row>
    <row r="65" spans="1:20" ht="15.75">
      <c r="A65" s="13">
        <v>43101</v>
      </c>
      <c r="B65" s="47">
        <v>31</v>
      </c>
      <c r="C65" s="38">
        <v>122.58</v>
      </c>
      <c r="D65" s="38">
        <v>297.94099999999997</v>
      </c>
      <c r="E65" s="44">
        <v>729.47900000000004</v>
      </c>
      <c r="F65" s="38">
        <v>1150</v>
      </c>
      <c r="G65" s="38">
        <v>100</v>
      </c>
      <c r="H65" s="46">
        <v>400</v>
      </c>
      <c r="I65" s="38">
        <v>695</v>
      </c>
      <c r="J65" s="38">
        <v>50</v>
      </c>
      <c r="K65" s="39"/>
      <c r="L65" s="48"/>
      <c r="M65" s="39"/>
      <c r="N65" s="39"/>
      <c r="O65" s="39"/>
      <c r="P65" s="39"/>
      <c r="Q65" s="39"/>
      <c r="R65" s="39"/>
      <c r="S65" s="39"/>
      <c r="T65" s="39"/>
    </row>
    <row r="66" spans="1:20" ht="15.75">
      <c r="A66" s="13">
        <v>43132</v>
      </c>
      <c r="B66" s="47">
        <v>28</v>
      </c>
      <c r="C66" s="38">
        <v>122.58</v>
      </c>
      <c r="D66" s="38">
        <v>297.94099999999997</v>
      </c>
      <c r="E66" s="44">
        <v>729.47900000000004</v>
      </c>
      <c r="F66" s="38">
        <v>1150</v>
      </c>
      <c r="G66" s="38">
        <v>100</v>
      </c>
      <c r="H66" s="46">
        <v>400</v>
      </c>
      <c r="I66" s="38">
        <v>695</v>
      </c>
      <c r="J66" s="38">
        <v>50</v>
      </c>
      <c r="K66" s="39"/>
      <c r="L66" s="48"/>
      <c r="M66" s="39"/>
      <c r="N66" s="39"/>
      <c r="O66" s="39"/>
      <c r="P66" s="39"/>
      <c r="Q66" s="39"/>
      <c r="R66" s="39"/>
      <c r="S66" s="39"/>
      <c r="T66" s="39"/>
    </row>
    <row r="67" spans="1:20" ht="15.75">
      <c r="A67" s="13">
        <v>43160</v>
      </c>
      <c r="B67" s="47">
        <v>31</v>
      </c>
      <c r="C67" s="38">
        <v>122.58</v>
      </c>
      <c r="D67" s="38">
        <v>297.94099999999997</v>
      </c>
      <c r="E67" s="44">
        <v>729.47900000000004</v>
      </c>
      <c r="F67" s="38">
        <v>1150</v>
      </c>
      <c r="G67" s="38">
        <v>100</v>
      </c>
      <c r="H67" s="46">
        <v>400</v>
      </c>
      <c r="I67" s="38">
        <v>695</v>
      </c>
      <c r="J67" s="38">
        <v>50</v>
      </c>
      <c r="K67" s="39"/>
      <c r="L67" s="48"/>
      <c r="M67" s="39"/>
      <c r="N67" s="39"/>
      <c r="O67" s="39"/>
      <c r="P67" s="39"/>
      <c r="Q67" s="39"/>
      <c r="R67" s="39"/>
      <c r="S67" s="39"/>
      <c r="T67" s="39"/>
    </row>
    <row r="68" spans="1:20" ht="15.75">
      <c r="A68" s="13">
        <v>43191</v>
      </c>
      <c r="B68" s="47">
        <v>30</v>
      </c>
      <c r="C68" s="38">
        <v>141.29300000000001</v>
      </c>
      <c r="D68" s="38">
        <v>267.99299999999999</v>
      </c>
      <c r="E68" s="44">
        <v>829.71400000000006</v>
      </c>
      <c r="F68" s="38">
        <v>1239</v>
      </c>
      <c r="G68" s="38">
        <v>100</v>
      </c>
      <c r="H68" s="46">
        <v>400</v>
      </c>
      <c r="I68" s="38">
        <v>695</v>
      </c>
      <c r="J68" s="38">
        <v>50</v>
      </c>
      <c r="K68" s="39"/>
      <c r="L68" s="48"/>
      <c r="M68" s="39"/>
      <c r="N68" s="39"/>
      <c r="O68" s="39"/>
      <c r="P68" s="39"/>
      <c r="Q68" s="39"/>
      <c r="R68" s="39"/>
      <c r="S68" s="39"/>
      <c r="T68" s="39"/>
    </row>
    <row r="69" spans="1:20" ht="15.75">
      <c r="A69" s="13">
        <v>43221</v>
      </c>
      <c r="B69" s="47">
        <v>31</v>
      </c>
      <c r="C69" s="38">
        <v>194.20500000000001</v>
      </c>
      <c r="D69" s="38">
        <v>267.46600000000001</v>
      </c>
      <c r="E69" s="44">
        <v>812.32899999999995</v>
      </c>
      <c r="F69" s="38">
        <v>1274</v>
      </c>
      <c r="G69" s="38">
        <v>75</v>
      </c>
      <c r="H69" s="46">
        <v>400</v>
      </c>
      <c r="I69" s="38">
        <v>695</v>
      </c>
      <c r="J69" s="38">
        <v>50</v>
      </c>
      <c r="K69" s="39"/>
      <c r="L69" s="48"/>
      <c r="M69" s="39"/>
      <c r="N69" s="39"/>
      <c r="O69" s="39"/>
      <c r="P69" s="39"/>
      <c r="Q69" s="39"/>
      <c r="R69" s="39"/>
      <c r="S69" s="39"/>
      <c r="T69" s="39"/>
    </row>
    <row r="70" spans="1:20" ht="15.75">
      <c r="A70" s="13">
        <v>43252</v>
      </c>
      <c r="B70" s="47">
        <v>30</v>
      </c>
      <c r="C70" s="38">
        <v>194.20500000000001</v>
      </c>
      <c r="D70" s="38">
        <v>267.46600000000001</v>
      </c>
      <c r="E70" s="44">
        <v>812.32899999999995</v>
      </c>
      <c r="F70" s="38">
        <v>1274</v>
      </c>
      <c r="G70" s="38">
        <v>50</v>
      </c>
      <c r="H70" s="46">
        <v>400</v>
      </c>
      <c r="I70" s="38">
        <v>695</v>
      </c>
      <c r="J70" s="38">
        <v>50</v>
      </c>
      <c r="K70" s="39"/>
      <c r="L70" s="48"/>
      <c r="M70" s="39"/>
      <c r="N70" s="39"/>
      <c r="O70" s="39"/>
      <c r="P70" s="39"/>
      <c r="Q70" s="39"/>
      <c r="R70" s="39"/>
      <c r="S70" s="39"/>
      <c r="T70" s="39"/>
    </row>
    <row r="71" spans="1:20" ht="15.75">
      <c r="A71" s="13">
        <v>43282</v>
      </c>
      <c r="B71" s="47">
        <v>31</v>
      </c>
      <c r="C71" s="38">
        <v>194.20500000000001</v>
      </c>
      <c r="D71" s="38">
        <v>267.46600000000001</v>
      </c>
      <c r="E71" s="44">
        <v>812.32899999999995</v>
      </c>
      <c r="F71" s="38">
        <v>1274</v>
      </c>
      <c r="G71" s="38">
        <v>50</v>
      </c>
      <c r="H71" s="46">
        <v>400</v>
      </c>
      <c r="I71" s="38">
        <v>695</v>
      </c>
      <c r="J71" s="38">
        <v>0</v>
      </c>
      <c r="K71" s="39"/>
      <c r="L71" s="48"/>
      <c r="M71" s="39"/>
      <c r="N71" s="39"/>
      <c r="O71" s="39"/>
      <c r="P71" s="39"/>
      <c r="Q71" s="39"/>
      <c r="R71" s="39"/>
      <c r="S71" s="39"/>
      <c r="T71" s="39"/>
    </row>
    <row r="72" spans="1:20" ht="15.75">
      <c r="A72" s="13">
        <v>43313</v>
      </c>
      <c r="B72" s="47">
        <v>31</v>
      </c>
      <c r="C72" s="38">
        <v>194.20500000000001</v>
      </c>
      <c r="D72" s="38">
        <v>267.46600000000001</v>
      </c>
      <c r="E72" s="44">
        <v>812.32899999999995</v>
      </c>
      <c r="F72" s="38">
        <v>1274</v>
      </c>
      <c r="G72" s="38">
        <v>50</v>
      </c>
      <c r="H72" s="46">
        <v>400</v>
      </c>
      <c r="I72" s="38">
        <v>695</v>
      </c>
      <c r="J72" s="38">
        <v>0</v>
      </c>
      <c r="K72" s="39"/>
      <c r="L72" s="48"/>
      <c r="M72" s="39"/>
      <c r="N72" s="39"/>
      <c r="O72" s="39"/>
      <c r="P72" s="39"/>
      <c r="Q72" s="39"/>
      <c r="R72" s="39"/>
      <c r="S72" s="39"/>
      <c r="T72" s="39"/>
    </row>
    <row r="73" spans="1:20" ht="15.75">
      <c r="A73" s="13">
        <v>43344</v>
      </c>
      <c r="B73" s="47">
        <v>30</v>
      </c>
      <c r="C73" s="38">
        <v>194.20500000000001</v>
      </c>
      <c r="D73" s="38">
        <v>267.46600000000001</v>
      </c>
      <c r="E73" s="44">
        <v>812.32899999999995</v>
      </c>
      <c r="F73" s="38">
        <v>1274</v>
      </c>
      <c r="G73" s="38">
        <v>50</v>
      </c>
      <c r="H73" s="46">
        <v>400</v>
      </c>
      <c r="I73" s="38">
        <v>695</v>
      </c>
      <c r="J73" s="38">
        <v>0</v>
      </c>
      <c r="K73" s="39"/>
      <c r="L73" s="48"/>
      <c r="M73" s="39"/>
      <c r="N73" s="39"/>
      <c r="O73" s="39"/>
      <c r="P73" s="39"/>
      <c r="Q73" s="39"/>
      <c r="R73" s="39"/>
      <c r="S73" s="39"/>
      <c r="T73" s="39"/>
    </row>
    <row r="74" spans="1:20" ht="15.75">
      <c r="A74" s="13">
        <v>43374</v>
      </c>
      <c r="B74" s="47">
        <v>31</v>
      </c>
      <c r="C74" s="38">
        <v>131.881</v>
      </c>
      <c r="D74" s="38">
        <v>277.16699999999997</v>
      </c>
      <c r="E74" s="44">
        <v>829.952</v>
      </c>
      <c r="F74" s="38">
        <v>1239</v>
      </c>
      <c r="G74" s="38">
        <v>75</v>
      </c>
      <c r="H74" s="46">
        <v>400</v>
      </c>
      <c r="I74" s="38">
        <v>695</v>
      </c>
      <c r="J74" s="38">
        <v>0</v>
      </c>
      <c r="K74" s="39"/>
      <c r="L74" s="48"/>
      <c r="M74" s="39"/>
      <c r="N74" s="39"/>
      <c r="O74" s="39"/>
      <c r="P74" s="39"/>
      <c r="Q74" s="39"/>
      <c r="R74" s="39"/>
      <c r="S74" s="39"/>
      <c r="T74" s="39"/>
    </row>
    <row r="75" spans="1:20" ht="15.75">
      <c r="A75" s="13">
        <v>43405</v>
      </c>
      <c r="B75" s="47">
        <v>30</v>
      </c>
      <c r="C75" s="38">
        <v>122.58</v>
      </c>
      <c r="D75" s="38">
        <v>297.94099999999997</v>
      </c>
      <c r="E75" s="44">
        <v>729.47900000000004</v>
      </c>
      <c r="F75" s="38">
        <v>1150</v>
      </c>
      <c r="G75" s="38">
        <v>100</v>
      </c>
      <c r="H75" s="46">
        <v>400</v>
      </c>
      <c r="I75" s="38">
        <v>695</v>
      </c>
      <c r="J75" s="38">
        <v>50</v>
      </c>
      <c r="K75" s="39"/>
      <c r="L75" s="48"/>
      <c r="M75" s="39"/>
      <c r="N75" s="39"/>
      <c r="O75" s="39"/>
      <c r="P75" s="39"/>
      <c r="Q75" s="39"/>
      <c r="R75" s="39"/>
      <c r="S75" s="39"/>
      <c r="T75" s="39"/>
    </row>
    <row r="76" spans="1:20" ht="15.75">
      <c r="A76" s="13">
        <v>43435</v>
      </c>
      <c r="B76" s="47">
        <v>31</v>
      </c>
      <c r="C76" s="38">
        <v>122.58</v>
      </c>
      <c r="D76" s="38">
        <v>297.94099999999997</v>
      </c>
      <c r="E76" s="44">
        <v>729.47900000000004</v>
      </c>
      <c r="F76" s="38">
        <v>1150</v>
      </c>
      <c r="G76" s="38">
        <v>100</v>
      </c>
      <c r="H76" s="46">
        <v>400</v>
      </c>
      <c r="I76" s="38">
        <v>695</v>
      </c>
      <c r="J76" s="38">
        <v>50</v>
      </c>
      <c r="K76" s="39"/>
      <c r="L76" s="48"/>
      <c r="M76" s="39"/>
      <c r="N76" s="39"/>
      <c r="O76" s="39"/>
      <c r="P76" s="39"/>
      <c r="Q76" s="39"/>
      <c r="R76" s="39"/>
      <c r="S76" s="39"/>
      <c r="T76" s="39"/>
    </row>
    <row r="77" spans="1:20" ht="15.75">
      <c r="A77" s="13">
        <v>43466</v>
      </c>
      <c r="B77" s="47">
        <v>31</v>
      </c>
      <c r="C77" s="38">
        <v>122.58</v>
      </c>
      <c r="D77" s="38">
        <v>297.94099999999997</v>
      </c>
      <c r="E77" s="44">
        <v>729.47900000000004</v>
      </c>
      <c r="F77" s="38">
        <v>1150</v>
      </c>
      <c r="G77" s="38">
        <v>100</v>
      </c>
      <c r="H77" s="46">
        <v>400</v>
      </c>
      <c r="I77" s="38">
        <v>695</v>
      </c>
      <c r="J77" s="38">
        <v>50</v>
      </c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0" ht="15.75">
      <c r="A78" s="13">
        <v>43497</v>
      </c>
      <c r="B78" s="47">
        <v>28</v>
      </c>
      <c r="C78" s="38">
        <v>122.58</v>
      </c>
      <c r="D78" s="38">
        <v>297.94099999999997</v>
      </c>
      <c r="E78" s="44">
        <v>729.47900000000004</v>
      </c>
      <c r="F78" s="38">
        <v>1150</v>
      </c>
      <c r="G78" s="38">
        <v>100</v>
      </c>
      <c r="H78" s="46">
        <v>400</v>
      </c>
      <c r="I78" s="38">
        <v>695</v>
      </c>
      <c r="J78" s="38">
        <v>50</v>
      </c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0" ht="15.75">
      <c r="A79" s="13">
        <v>43525</v>
      </c>
      <c r="B79" s="47">
        <v>31</v>
      </c>
      <c r="C79" s="38">
        <v>122.58</v>
      </c>
      <c r="D79" s="38">
        <v>297.94099999999997</v>
      </c>
      <c r="E79" s="44">
        <v>729.47900000000004</v>
      </c>
      <c r="F79" s="38">
        <v>1150</v>
      </c>
      <c r="G79" s="38">
        <v>100</v>
      </c>
      <c r="H79" s="46">
        <v>400</v>
      </c>
      <c r="I79" s="38">
        <v>695</v>
      </c>
      <c r="J79" s="38">
        <v>50</v>
      </c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0" ht="15.75">
      <c r="A80" s="13">
        <v>43556</v>
      </c>
      <c r="B80" s="47">
        <v>30</v>
      </c>
      <c r="C80" s="38">
        <v>141.29300000000001</v>
      </c>
      <c r="D80" s="38">
        <v>267.99299999999999</v>
      </c>
      <c r="E80" s="44">
        <v>829.71400000000006</v>
      </c>
      <c r="F80" s="38">
        <v>1239</v>
      </c>
      <c r="G80" s="38">
        <v>100</v>
      </c>
      <c r="H80" s="46">
        <v>400</v>
      </c>
      <c r="I80" s="38">
        <v>695</v>
      </c>
      <c r="J80" s="38">
        <v>50</v>
      </c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1:20" ht="15.75">
      <c r="A81" s="13">
        <v>43586</v>
      </c>
      <c r="B81" s="47">
        <v>31</v>
      </c>
      <c r="C81" s="38">
        <v>194.20500000000001</v>
      </c>
      <c r="D81" s="38">
        <v>267.46600000000001</v>
      </c>
      <c r="E81" s="44">
        <v>812.32899999999995</v>
      </c>
      <c r="F81" s="38">
        <v>1274</v>
      </c>
      <c r="G81" s="38">
        <v>75</v>
      </c>
      <c r="H81" s="46">
        <v>400</v>
      </c>
      <c r="I81" s="38">
        <v>695</v>
      </c>
      <c r="J81" s="38">
        <v>50</v>
      </c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1:20" ht="15.75">
      <c r="A82" s="13">
        <v>43617</v>
      </c>
      <c r="B82" s="47">
        <v>30</v>
      </c>
      <c r="C82" s="38">
        <v>194.20500000000001</v>
      </c>
      <c r="D82" s="38">
        <v>267.46600000000001</v>
      </c>
      <c r="E82" s="44">
        <v>812.32899999999995</v>
      </c>
      <c r="F82" s="38">
        <v>1274</v>
      </c>
      <c r="G82" s="38">
        <v>50</v>
      </c>
      <c r="H82" s="46">
        <v>400</v>
      </c>
      <c r="I82" s="38">
        <v>695</v>
      </c>
      <c r="J82" s="38">
        <v>50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1:20" ht="15.75">
      <c r="A83" s="13">
        <v>43647</v>
      </c>
      <c r="B83" s="47">
        <v>31</v>
      </c>
      <c r="C83" s="38">
        <v>194.20500000000001</v>
      </c>
      <c r="D83" s="38">
        <v>267.46600000000001</v>
      </c>
      <c r="E83" s="44">
        <v>812.32899999999995</v>
      </c>
      <c r="F83" s="38">
        <v>1274</v>
      </c>
      <c r="G83" s="38">
        <v>50</v>
      </c>
      <c r="H83" s="46">
        <v>400</v>
      </c>
      <c r="I83" s="38">
        <v>695</v>
      </c>
      <c r="J83" s="38">
        <v>0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1:20" ht="15.75">
      <c r="A84" s="13">
        <v>43678</v>
      </c>
      <c r="B84" s="47">
        <v>31</v>
      </c>
      <c r="C84" s="38">
        <v>194.20500000000001</v>
      </c>
      <c r="D84" s="38">
        <v>267.46600000000001</v>
      </c>
      <c r="E84" s="44">
        <v>812.32899999999995</v>
      </c>
      <c r="F84" s="38">
        <v>1274</v>
      </c>
      <c r="G84" s="38">
        <v>50</v>
      </c>
      <c r="H84" s="46">
        <v>400</v>
      </c>
      <c r="I84" s="38">
        <v>695</v>
      </c>
      <c r="J84" s="38">
        <v>0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</row>
    <row r="85" spans="1:20" ht="15.75">
      <c r="A85" s="13">
        <v>43709</v>
      </c>
      <c r="B85" s="47">
        <v>30</v>
      </c>
      <c r="C85" s="38">
        <v>194.20500000000001</v>
      </c>
      <c r="D85" s="38">
        <v>267.46600000000001</v>
      </c>
      <c r="E85" s="44">
        <v>812.32899999999995</v>
      </c>
      <c r="F85" s="38">
        <v>1274</v>
      </c>
      <c r="G85" s="38">
        <v>50</v>
      </c>
      <c r="H85" s="46">
        <v>400</v>
      </c>
      <c r="I85" s="38">
        <v>695</v>
      </c>
      <c r="J85" s="38">
        <v>0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1:20" ht="15.75">
      <c r="A86" s="13">
        <v>43739</v>
      </c>
      <c r="B86" s="47">
        <v>31</v>
      </c>
      <c r="C86" s="38">
        <v>131.881</v>
      </c>
      <c r="D86" s="38">
        <v>277.16699999999997</v>
      </c>
      <c r="E86" s="44">
        <v>829.952</v>
      </c>
      <c r="F86" s="38">
        <v>1239</v>
      </c>
      <c r="G86" s="38">
        <v>75</v>
      </c>
      <c r="H86" s="46">
        <v>400</v>
      </c>
      <c r="I86" s="38">
        <v>695</v>
      </c>
      <c r="J86" s="38">
        <v>0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</row>
    <row r="87" spans="1:20" ht="15.75">
      <c r="A87" s="13">
        <v>43770</v>
      </c>
      <c r="B87" s="47">
        <v>30</v>
      </c>
      <c r="C87" s="38">
        <v>122.58</v>
      </c>
      <c r="D87" s="38">
        <v>297.94099999999997</v>
      </c>
      <c r="E87" s="44">
        <v>729.47900000000004</v>
      </c>
      <c r="F87" s="38">
        <v>1150</v>
      </c>
      <c r="G87" s="38">
        <v>100</v>
      </c>
      <c r="H87" s="46">
        <v>400</v>
      </c>
      <c r="I87" s="38">
        <v>695</v>
      </c>
      <c r="J87" s="38">
        <v>50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1:20" ht="15.75">
      <c r="A88" s="13">
        <v>43800</v>
      </c>
      <c r="B88" s="47">
        <v>31</v>
      </c>
      <c r="C88" s="38">
        <v>122.58</v>
      </c>
      <c r="D88" s="38">
        <v>297.94099999999997</v>
      </c>
      <c r="E88" s="44">
        <v>729.47900000000004</v>
      </c>
      <c r="F88" s="38">
        <v>1150</v>
      </c>
      <c r="G88" s="38">
        <v>100</v>
      </c>
      <c r="H88" s="46">
        <v>400</v>
      </c>
      <c r="I88" s="38">
        <v>695</v>
      </c>
      <c r="J88" s="38">
        <v>50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1:20" ht="15.75">
      <c r="A89" s="13">
        <v>43831</v>
      </c>
      <c r="B89" s="47">
        <v>31</v>
      </c>
      <c r="C89" s="38">
        <v>122.58</v>
      </c>
      <c r="D89" s="38">
        <v>297.94099999999997</v>
      </c>
      <c r="E89" s="44">
        <v>729.47900000000004</v>
      </c>
      <c r="F89" s="38">
        <v>1150</v>
      </c>
      <c r="G89" s="38">
        <v>100</v>
      </c>
      <c r="H89" s="46">
        <v>400</v>
      </c>
      <c r="I89" s="38">
        <v>695</v>
      </c>
      <c r="J89" s="38">
        <v>50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</row>
    <row r="90" spans="1:20" ht="15.75">
      <c r="A90" s="13">
        <v>43862</v>
      </c>
      <c r="B90" s="47">
        <v>29</v>
      </c>
      <c r="C90" s="38">
        <v>122.58</v>
      </c>
      <c r="D90" s="38">
        <v>297.94099999999997</v>
      </c>
      <c r="E90" s="44">
        <v>729.47900000000004</v>
      </c>
      <c r="F90" s="38">
        <v>1150</v>
      </c>
      <c r="G90" s="38">
        <v>100</v>
      </c>
      <c r="H90" s="46">
        <v>400</v>
      </c>
      <c r="I90" s="38">
        <v>695</v>
      </c>
      <c r="J90" s="38">
        <v>50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</row>
    <row r="91" spans="1:20" ht="15.75">
      <c r="A91" s="13">
        <v>43891</v>
      </c>
      <c r="B91" s="47">
        <v>31</v>
      </c>
      <c r="C91" s="38">
        <v>122.58</v>
      </c>
      <c r="D91" s="38">
        <v>297.94099999999997</v>
      </c>
      <c r="E91" s="44">
        <v>729.47900000000004</v>
      </c>
      <c r="F91" s="38">
        <v>1150</v>
      </c>
      <c r="G91" s="38">
        <v>100</v>
      </c>
      <c r="H91" s="46">
        <v>400</v>
      </c>
      <c r="I91" s="38">
        <v>695</v>
      </c>
      <c r="J91" s="38">
        <v>50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</row>
    <row r="92" spans="1:20" ht="15.75">
      <c r="A92" s="13">
        <v>43922</v>
      </c>
      <c r="B92" s="47">
        <v>30</v>
      </c>
      <c r="C92" s="38">
        <v>141.29300000000001</v>
      </c>
      <c r="D92" s="38">
        <v>267.99299999999999</v>
      </c>
      <c r="E92" s="44">
        <v>829.71400000000006</v>
      </c>
      <c r="F92" s="38">
        <v>1239</v>
      </c>
      <c r="G92" s="38">
        <v>100</v>
      </c>
      <c r="H92" s="46">
        <v>400</v>
      </c>
      <c r="I92" s="38">
        <v>695</v>
      </c>
      <c r="J92" s="38">
        <v>50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</row>
    <row r="93" spans="1:20" ht="15.75">
      <c r="A93" s="13">
        <v>43952</v>
      </c>
      <c r="B93" s="47">
        <v>31</v>
      </c>
      <c r="C93" s="38">
        <v>194.20500000000001</v>
      </c>
      <c r="D93" s="38">
        <v>267.46600000000001</v>
      </c>
      <c r="E93" s="44">
        <v>812.32899999999995</v>
      </c>
      <c r="F93" s="38">
        <v>1274</v>
      </c>
      <c r="G93" s="38">
        <v>75</v>
      </c>
      <c r="H93" s="46">
        <v>600</v>
      </c>
      <c r="I93" s="38">
        <v>695</v>
      </c>
      <c r="J93" s="38">
        <v>50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</row>
    <row r="94" spans="1:20" ht="15.75">
      <c r="A94" s="13">
        <v>43983</v>
      </c>
      <c r="B94" s="47">
        <v>30</v>
      </c>
      <c r="C94" s="38">
        <v>194.20500000000001</v>
      </c>
      <c r="D94" s="38">
        <v>267.46600000000001</v>
      </c>
      <c r="E94" s="44">
        <v>812.32899999999995</v>
      </c>
      <c r="F94" s="38">
        <v>1274</v>
      </c>
      <c r="G94" s="38">
        <v>50</v>
      </c>
      <c r="H94" s="46">
        <v>600</v>
      </c>
      <c r="I94" s="38">
        <v>695</v>
      </c>
      <c r="J94" s="38">
        <v>50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1:20" ht="15.75">
      <c r="A95" s="13">
        <v>44013</v>
      </c>
      <c r="B95" s="47">
        <v>31</v>
      </c>
      <c r="C95" s="38">
        <v>194.20500000000001</v>
      </c>
      <c r="D95" s="38">
        <v>267.46600000000001</v>
      </c>
      <c r="E95" s="44">
        <v>812.32899999999995</v>
      </c>
      <c r="F95" s="38">
        <v>1274</v>
      </c>
      <c r="G95" s="38">
        <v>50</v>
      </c>
      <c r="H95" s="46">
        <v>600</v>
      </c>
      <c r="I95" s="38">
        <v>695</v>
      </c>
      <c r="J95" s="38">
        <v>0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1:20" ht="15.75">
      <c r="A96" s="13">
        <v>44044</v>
      </c>
      <c r="B96" s="47">
        <v>31</v>
      </c>
      <c r="C96" s="38">
        <v>194.20500000000001</v>
      </c>
      <c r="D96" s="38">
        <v>267.46600000000001</v>
      </c>
      <c r="E96" s="44">
        <v>812.32899999999995</v>
      </c>
      <c r="F96" s="38">
        <v>1274</v>
      </c>
      <c r="G96" s="38">
        <v>50</v>
      </c>
      <c r="H96" s="46">
        <v>600</v>
      </c>
      <c r="I96" s="38">
        <v>695</v>
      </c>
      <c r="J96" s="38">
        <v>0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1:20" ht="15.75">
      <c r="A97" s="13">
        <v>44075</v>
      </c>
      <c r="B97" s="47">
        <v>30</v>
      </c>
      <c r="C97" s="38">
        <v>194.20500000000001</v>
      </c>
      <c r="D97" s="38">
        <v>267.46600000000001</v>
      </c>
      <c r="E97" s="44">
        <v>812.32899999999995</v>
      </c>
      <c r="F97" s="38">
        <v>1274</v>
      </c>
      <c r="G97" s="38">
        <v>50</v>
      </c>
      <c r="H97" s="46">
        <v>600</v>
      </c>
      <c r="I97" s="38">
        <v>695</v>
      </c>
      <c r="J97" s="38">
        <v>0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1:20" ht="15.75">
      <c r="A98" s="13">
        <v>44105</v>
      </c>
      <c r="B98" s="47">
        <v>31</v>
      </c>
      <c r="C98" s="38">
        <v>131.881</v>
      </c>
      <c r="D98" s="38">
        <v>277.16699999999997</v>
      </c>
      <c r="E98" s="44">
        <v>829.952</v>
      </c>
      <c r="F98" s="38">
        <v>1239</v>
      </c>
      <c r="G98" s="38">
        <v>75</v>
      </c>
      <c r="H98" s="46">
        <v>600</v>
      </c>
      <c r="I98" s="38">
        <v>695</v>
      </c>
      <c r="J98" s="38">
        <v>0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</row>
    <row r="99" spans="1:20" ht="15.75">
      <c r="A99" s="13">
        <v>44136</v>
      </c>
      <c r="B99" s="47">
        <v>30</v>
      </c>
      <c r="C99" s="38">
        <v>122.58</v>
      </c>
      <c r="D99" s="38">
        <v>297.94099999999997</v>
      </c>
      <c r="E99" s="44">
        <v>729.47900000000004</v>
      </c>
      <c r="F99" s="38">
        <v>1150</v>
      </c>
      <c r="G99" s="38">
        <v>100</v>
      </c>
      <c r="H99" s="46">
        <v>600</v>
      </c>
      <c r="I99" s="38">
        <v>695</v>
      </c>
      <c r="J99" s="38">
        <v>50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1:20" ht="15.75">
      <c r="A100" s="13">
        <v>44166</v>
      </c>
      <c r="B100" s="47">
        <v>31</v>
      </c>
      <c r="C100" s="38">
        <v>122.58</v>
      </c>
      <c r="D100" s="38">
        <v>297.94099999999997</v>
      </c>
      <c r="E100" s="44">
        <v>729.47900000000004</v>
      </c>
      <c r="F100" s="38">
        <v>1150</v>
      </c>
      <c r="G100" s="38">
        <v>100</v>
      </c>
      <c r="H100" s="46">
        <v>600</v>
      </c>
      <c r="I100" s="38">
        <v>695</v>
      </c>
      <c r="J100" s="38">
        <v>50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</row>
    <row r="101" spans="1:20" ht="15.75">
      <c r="A101" s="13">
        <v>44197</v>
      </c>
      <c r="B101" s="47">
        <v>31</v>
      </c>
      <c r="C101" s="38">
        <v>122.58</v>
      </c>
      <c r="D101" s="38">
        <v>297.94099999999997</v>
      </c>
      <c r="E101" s="44">
        <v>729.47900000000004</v>
      </c>
      <c r="F101" s="38">
        <v>1150</v>
      </c>
      <c r="G101" s="38">
        <v>100</v>
      </c>
      <c r="H101" s="46">
        <v>600</v>
      </c>
      <c r="I101" s="38">
        <v>695</v>
      </c>
      <c r="J101" s="38">
        <v>50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</row>
    <row r="102" spans="1:20" ht="15.75">
      <c r="A102" s="13">
        <v>44228</v>
      </c>
      <c r="B102" s="47">
        <v>28</v>
      </c>
      <c r="C102" s="38">
        <v>122.58</v>
      </c>
      <c r="D102" s="38">
        <v>297.94099999999997</v>
      </c>
      <c r="E102" s="44">
        <v>729.47900000000004</v>
      </c>
      <c r="F102" s="38">
        <v>1150</v>
      </c>
      <c r="G102" s="38">
        <v>100</v>
      </c>
      <c r="H102" s="46">
        <v>600</v>
      </c>
      <c r="I102" s="38">
        <v>695</v>
      </c>
      <c r="J102" s="38">
        <v>50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</row>
    <row r="103" spans="1:20" ht="15.75">
      <c r="A103" s="13">
        <v>44256</v>
      </c>
      <c r="B103" s="47">
        <v>31</v>
      </c>
      <c r="C103" s="38">
        <v>122.58</v>
      </c>
      <c r="D103" s="38">
        <v>297.94099999999997</v>
      </c>
      <c r="E103" s="44">
        <v>729.47900000000004</v>
      </c>
      <c r="F103" s="38">
        <v>1150</v>
      </c>
      <c r="G103" s="38">
        <v>100</v>
      </c>
      <c r="H103" s="46">
        <v>600</v>
      </c>
      <c r="I103" s="38">
        <v>695</v>
      </c>
      <c r="J103" s="38">
        <v>50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</row>
    <row r="104" spans="1:20" ht="15.75">
      <c r="A104" s="13">
        <v>44287</v>
      </c>
      <c r="B104" s="47">
        <v>30</v>
      </c>
      <c r="C104" s="38">
        <v>141.29300000000001</v>
      </c>
      <c r="D104" s="38">
        <v>267.99299999999999</v>
      </c>
      <c r="E104" s="44">
        <v>829.71400000000006</v>
      </c>
      <c r="F104" s="38">
        <v>1239</v>
      </c>
      <c r="G104" s="38">
        <v>100</v>
      </c>
      <c r="H104" s="46">
        <v>600</v>
      </c>
      <c r="I104" s="38">
        <v>695</v>
      </c>
      <c r="J104" s="38">
        <v>50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 ht="15.75">
      <c r="A105" s="13">
        <v>44317</v>
      </c>
      <c r="B105" s="47">
        <v>31</v>
      </c>
      <c r="C105" s="38">
        <v>194.20500000000001</v>
      </c>
      <c r="D105" s="38">
        <v>267.46600000000001</v>
      </c>
      <c r="E105" s="44">
        <v>812.32899999999995</v>
      </c>
      <c r="F105" s="38">
        <v>1274</v>
      </c>
      <c r="G105" s="38">
        <v>75</v>
      </c>
      <c r="H105" s="46">
        <v>600</v>
      </c>
      <c r="I105" s="38">
        <v>695</v>
      </c>
      <c r="J105" s="38">
        <v>50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</row>
    <row r="106" spans="1:20" ht="15.75">
      <c r="A106" s="13">
        <v>44348</v>
      </c>
      <c r="B106" s="47">
        <v>30</v>
      </c>
      <c r="C106" s="38">
        <v>194.20500000000001</v>
      </c>
      <c r="D106" s="38">
        <v>267.46600000000001</v>
      </c>
      <c r="E106" s="44">
        <v>812.32899999999995</v>
      </c>
      <c r="F106" s="38">
        <v>1274</v>
      </c>
      <c r="G106" s="38">
        <v>50</v>
      </c>
      <c r="H106" s="46">
        <v>600</v>
      </c>
      <c r="I106" s="38">
        <v>695</v>
      </c>
      <c r="J106" s="38">
        <v>50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</row>
    <row r="107" spans="1:20" ht="15.75">
      <c r="A107" s="13">
        <v>44378</v>
      </c>
      <c r="B107" s="47">
        <v>31</v>
      </c>
      <c r="C107" s="38">
        <v>194.20500000000001</v>
      </c>
      <c r="D107" s="38">
        <v>267.46600000000001</v>
      </c>
      <c r="E107" s="44">
        <v>812.32899999999995</v>
      </c>
      <c r="F107" s="38">
        <v>1274</v>
      </c>
      <c r="G107" s="38">
        <v>50</v>
      </c>
      <c r="H107" s="46">
        <v>600</v>
      </c>
      <c r="I107" s="38">
        <v>695</v>
      </c>
      <c r="J107" s="38">
        <v>0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</row>
    <row r="108" spans="1:20" ht="15.75">
      <c r="A108" s="13">
        <v>44409</v>
      </c>
      <c r="B108" s="47">
        <v>31</v>
      </c>
      <c r="C108" s="38">
        <v>194.20500000000001</v>
      </c>
      <c r="D108" s="38">
        <v>267.46600000000001</v>
      </c>
      <c r="E108" s="44">
        <v>812.32899999999995</v>
      </c>
      <c r="F108" s="38">
        <v>1274</v>
      </c>
      <c r="G108" s="38">
        <v>50</v>
      </c>
      <c r="H108" s="46">
        <v>600</v>
      </c>
      <c r="I108" s="38">
        <v>695</v>
      </c>
      <c r="J108" s="38">
        <v>0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</row>
    <row r="109" spans="1:20" ht="15.75">
      <c r="A109" s="13">
        <v>44440</v>
      </c>
      <c r="B109" s="47">
        <v>30</v>
      </c>
      <c r="C109" s="38">
        <v>194.20500000000001</v>
      </c>
      <c r="D109" s="38">
        <v>267.46600000000001</v>
      </c>
      <c r="E109" s="44">
        <v>812.32899999999995</v>
      </c>
      <c r="F109" s="38">
        <v>1274</v>
      </c>
      <c r="G109" s="38">
        <v>50</v>
      </c>
      <c r="H109" s="46">
        <v>600</v>
      </c>
      <c r="I109" s="38">
        <v>695</v>
      </c>
      <c r="J109" s="38">
        <v>0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</row>
    <row r="110" spans="1:20" ht="15.75">
      <c r="A110" s="13">
        <v>44470</v>
      </c>
      <c r="B110" s="47">
        <v>31</v>
      </c>
      <c r="C110" s="38">
        <v>131.881</v>
      </c>
      <c r="D110" s="38">
        <v>277.16699999999997</v>
      </c>
      <c r="E110" s="44">
        <v>829.952</v>
      </c>
      <c r="F110" s="38">
        <v>1239</v>
      </c>
      <c r="G110" s="38">
        <v>75</v>
      </c>
      <c r="H110" s="46">
        <v>600</v>
      </c>
      <c r="I110" s="38">
        <v>695</v>
      </c>
      <c r="J110" s="38">
        <v>0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</row>
    <row r="111" spans="1:20" ht="15.75">
      <c r="A111" s="13">
        <v>44501</v>
      </c>
      <c r="B111" s="47">
        <v>30</v>
      </c>
      <c r="C111" s="38">
        <v>122.58</v>
      </c>
      <c r="D111" s="38">
        <v>297.94099999999997</v>
      </c>
      <c r="E111" s="44">
        <v>729.47900000000004</v>
      </c>
      <c r="F111" s="38">
        <v>1150</v>
      </c>
      <c r="G111" s="38">
        <v>100</v>
      </c>
      <c r="H111" s="46">
        <v>600</v>
      </c>
      <c r="I111" s="38">
        <v>695</v>
      </c>
      <c r="J111" s="38">
        <v>50</v>
      </c>
      <c r="K111" s="39"/>
      <c r="L111" s="39"/>
      <c r="M111" s="39"/>
      <c r="N111" s="39"/>
      <c r="O111" s="39"/>
      <c r="P111" s="39"/>
      <c r="Q111" s="39"/>
      <c r="R111" s="39"/>
      <c r="S111" s="39"/>
      <c r="T111" s="39"/>
    </row>
    <row r="112" spans="1:20" ht="15.75">
      <c r="A112" s="13">
        <v>44531</v>
      </c>
      <c r="B112" s="47">
        <v>31</v>
      </c>
      <c r="C112" s="38">
        <v>122.58</v>
      </c>
      <c r="D112" s="38">
        <v>297.94099999999997</v>
      </c>
      <c r="E112" s="44">
        <v>729.47900000000004</v>
      </c>
      <c r="F112" s="38">
        <v>1150</v>
      </c>
      <c r="G112" s="38">
        <v>100</v>
      </c>
      <c r="H112" s="46">
        <v>600</v>
      </c>
      <c r="I112" s="38">
        <v>695</v>
      </c>
      <c r="J112" s="38">
        <v>50</v>
      </c>
      <c r="K112" s="39"/>
      <c r="L112" s="39"/>
      <c r="M112" s="39"/>
      <c r="N112" s="39"/>
      <c r="O112" s="39"/>
      <c r="P112" s="39"/>
      <c r="Q112" s="39"/>
      <c r="R112" s="39"/>
      <c r="S112" s="39"/>
      <c r="T112" s="39"/>
    </row>
    <row r="113" spans="1:20" ht="15.75">
      <c r="A113" s="13">
        <v>44562</v>
      </c>
      <c r="B113" s="47">
        <v>31</v>
      </c>
      <c r="C113" s="38">
        <v>122.58</v>
      </c>
      <c r="D113" s="38">
        <v>297.94099999999997</v>
      </c>
      <c r="E113" s="44">
        <v>729.47900000000004</v>
      </c>
      <c r="F113" s="38">
        <v>1150</v>
      </c>
      <c r="G113" s="38">
        <v>100</v>
      </c>
      <c r="H113" s="46">
        <v>600</v>
      </c>
      <c r="I113" s="38">
        <v>695</v>
      </c>
      <c r="J113" s="38">
        <v>50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</row>
    <row r="114" spans="1:20" ht="15.75">
      <c r="A114" s="13">
        <v>44593</v>
      </c>
      <c r="B114" s="47">
        <v>28</v>
      </c>
      <c r="C114" s="38">
        <v>122.58</v>
      </c>
      <c r="D114" s="38">
        <v>297.94099999999997</v>
      </c>
      <c r="E114" s="44">
        <v>729.47900000000004</v>
      </c>
      <c r="F114" s="38">
        <v>1150</v>
      </c>
      <c r="G114" s="38">
        <v>100</v>
      </c>
      <c r="H114" s="46">
        <v>600</v>
      </c>
      <c r="I114" s="38">
        <v>695</v>
      </c>
      <c r="J114" s="38">
        <v>50</v>
      </c>
      <c r="K114" s="39"/>
      <c r="L114" s="39"/>
      <c r="M114" s="39"/>
      <c r="N114" s="39"/>
      <c r="O114" s="39"/>
      <c r="P114" s="39"/>
      <c r="Q114" s="39"/>
      <c r="R114" s="39"/>
      <c r="S114" s="39"/>
      <c r="T114" s="39"/>
    </row>
    <row r="115" spans="1:20" ht="15.75">
      <c r="A115" s="13">
        <v>44621</v>
      </c>
      <c r="B115" s="47">
        <v>31</v>
      </c>
      <c r="C115" s="38">
        <v>122.58</v>
      </c>
      <c r="D115" s="38">
        <v>297.94099999999997</v>
      </c>
      <c r="E115" s="44">
        <v>729.47900000000004</v>
      </c>
      <c r="F115" s="38">
        <v>1150</v>
      </c>
      <c r="G115" s="38">
        <v>100</v>
      </c>
      <c r="H115" s="46">
        <v>600</v>
      </c>
      <c r="I115" s="38">
        <v>695</v>
      </c>
      <c r="J115" s="38">
        <v>50</v>
      </c>
      <c r="K115" s="39"/>
      <c r="L115" s="39"/>
      <c r="M115" s="39"/>
      <c r="N115" s="39"/>
      <c r="O115" s="39"/>
      <c r="P115" s="39"/>
      <c r="Q115" s="39"/>
      <c r="R115" s="39"/>
      <c r="S115" s="39"/>
      <c r="T115" s="39"/>
    </row>
    <row r="116" spans="1:20" ht="15.75">
      <c r="A116" s="13">
        <v>44652</v>
      </c>
      <c r="B116" s="47">
        <v>30</v>
      </c>
      <c r="C116" s="38">
        <v>141.29300000000001</v>
      </c>
      <c r="D116" s="38">
        <v>267.99299999999999</v>
      </c>
      <c r="E116" s="44">
        <v>829.71400000000006</v>
      </c>
      <c r="F116" s="38">
        <v>1239</v>
      </c>
      <c r="G116" s="38">
        <v>100</v>
      </c>
      <c r="H116" s="46">
        <v>600</v>
      </c>
      <c r="I116" s="38">
        <v>695</v>
      </c>
      <c r="J116" s="38">
        <v>50</v>
      </c>
      <c r="K116" s="39"/>
      <c r="L116" s="39"/>
      <c r="M116" s="39"/>
      <c r="N116" s="39"/>
      <c r="O116" s="39"/>
      <c r="P116" s="39"/>
      <c r="Q116" s="39"/>
      <c r="R116" s="39"/>
      <c r="S116" s="39"/>
      <c r="T116" s="39"/>
    </row>
    <row r="117" spans="1:20" ht="15.75">
      <c r="A117" s="13">
        <v>44682</v>
      </c>
      <c r="B117" s="47">
        <v>31</v>
      </c>
      <c r="C117" s="38">
        <v>194.20500000000001</v>
      </c>
      <c r="D117" s="38">
        <v>267.46600000000001</v>
      </c>
      <c r="E117" s="44">
        <v>812.32899999999995</v>
      </c>
      <c r="F117" s="38">
        <v>1274</v>
      </c>
      <c r="G117" s="38">
        <v>75</v>
      </c>
      <c r="H117" s="46">
        <v>600</v>
      </c>
      <c r="I117" s="38">
        <v>695</v>
      </c>
      <c r="J117" s="38">
        <v>50</v>
      </c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5.75">
      <c r="A118" s="13">
        <v>44713</v>
      </c>
      <c r="B118" s="47">
        <v>30</v>
      </c>
      <c r="C118" s="38">
        <v>194.20500000000001</v>
      </c>
      <c r="D118" s="38">
        <v>267.46600000000001</v>
      </c>
      <c r="E118" s="44">
        <v>812.32899999999995</v>
      </c>
      <c r="F118" s="38">
        <v>1274</v>
      </c>
      <c r="G118" s="38">
        <v>50</v>
      </c>
      <c r="H118" s="46">
        <v>600</v>
      </c>
      <c r="I118" s="38">
        <v>695</v>
      </c>
      <c r="J118" s="38">
        <v>50</v>
      </c>
      <c r="K118" s="39"/>
      <c r="L118" s="39"/>
      <c r="M118" s="39"/>
      <c r="N118" s="39"/>
      <c r="O118" s="39"/>
      <c r="P118" s="39"/>
      <c r="Q118" s="39"/>
      <c r="R118" s="39"/>
      <c r="S118" s="39"/>
      <c r="T118" s="39"/>
    </row>
    <row r="119" spans="1:20" ht="15.75">
      <c r="A119" s="13">
        <v>44743</v>
      </c>
      <c r="B119" s="47">
        <v>31</v>
      </c>
      <c r="C119" s="38">
        <v>194.20500000000001</v>
      </c>
      <c r="D119" s="38">
        <v>267.46600000000001</v>
      </c>
      <c r="E119" s="44">
        <v>812.32899999999995</v>
      </c>
      <c r="F119" s="38">
        <v>1274</v>
      </c>
      <c r="G119" s="38">
        <v>50</v>
      </c>
      <c r="H119" s="46">
        <v>600</v>
      </c>
      <c r="I119" s="38">
        <v>695</v>
      </c>
      <c r="J119" s="38">
        <v>0</v>
      </c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 ht="15.75">
      <c r="A120" s="13">
        <v>44774</v>
      </c>
      <c r="B120" s="47">
        <v>31</v>
      </c>
      <c r="C120" s="38">
        <v>194.20500000000001</v>
      </c>
      <c r="D120" s="38">
        <v>267.46600000000001</v>
      </c>
      <c r="E120" s="44">
        <v>812.32899999999995</v>
      </c>
      <c r="F120" s="38">
        <v>1274</v>
      </c>
      <c r="G120" s="38">
        <v>50</v>
      </c>
      <c r="H120" s="46">
        <v>600</v>
      </c>
      <c r="I120" s="38">
        <v>695</v>
      </c>
      <c r="J120" s="38">
        <v>0</v>
      </c>
      <c r="K120" s="39"/>
      <c r="L120" s="39"/>
      <c r="M120" s="39"/>
      <c r="N120" s="39"/>
      <c r="O120" s="39"/>
      <c r="P120" s="39"/>
      <c r="Q120" s="39"/>
      <c r="R120" s="39"/>
      <c r="S120" s="39"/>
      <c r="T120" s="39"/>
    </row>
    <row r="121" spans="1:20" ht="15.75">
      <c r="A121" s="13">
        <v>44805</v>
      </c>
      <c r="B121" s="47">
        <v>30</v>
      </c>
      <c r="C121" s="38">
        <v>194.20500000000001</v>
      </c>
      <c r="D121" s="38">
        <v>267.46600000000001</v>
      </c>
      <c r="E121" s="44">
        <v>812.32899999999995</v>
      </c>
      <c r="F121" s="38">
        <v>1274</v>
      </c>
      <c r="G121" s="38">
        <v>50</v>
      </c>
      <c r="H121" s="46">
        <v>600</v>
      </c>
      <c r="I121" s="38">
        <v>695</v>
      </c>
      <c r="J121" s="38">
        <v>0</v>
      </c>
      <c r="K121" s="39"/>
      <c r="L121" s="39"/>
      <c r="M121" s="39"/>
      <c r="N121" s="39"/>
      <c r="O121" s="39"/>
      <c r="P121" s="39"/>
      <c r="Q121" s="39"/>
      <c r="R121" s="39"/>
      <c r="S121" s="39"/>
      <c r="T121" s="39"/>
    </row>
    <row r="122" spans="1:20" ht="15.75">
      <c r="A122" s="13">
        <v>44835</v>
      </c>
      <c r="B122" s="47">
        <v>31</v>
      </c>
      <c r="C122" s="38">
        <v>131.881</v>
      </c>
      <c r="D122" s="38">
        <v>277.16699999999997</v>
      </c>
      <c r="E122" s="44">
        <v>829.952</v>
      </c>
      <c r="F122" s="38">
        <v>1239</v>
      </c>
      <c r="G122" s="38">
        <v>75</v>
      </c>
      <c r="H122" s="46">
        <v>600</v>
      </c>
      <c r="I122" s="38">
        <v>695</v>
      </c>
      <c r="J122" s="38">
        <v>0</v>
      </c>
      <c r="K122" s="39"/>
      <c r="L122" s="39"/>
      <c r="M122" s="39"/>
      <c r="N122" s="39"/>
      <c r="O122" s="39"/>
      <c r="P122" s="39"/>
      <c r="Q122" s="39"/>
      <c r="R122" s="39"/>
      <c r="S122" s="39"/>
      <c r="T122" s="39"/>
    </row>
    <row r="123" spans="1:20" ht="15.75">
      <c r="A123" s="13">
        <v>44866</v>
      </c>
      <c r="B123" s="47">
        <v>30</v>
      </c>
      <c r="C123" s="38">
        <v>122.58</v>
      </c>
      <c r="D123" s="38">
        <v>297.94099999999997</v>
      </c>
      <c r="E123" s="44">
        <v>729.47900000000004</v>
      </c>
      <c r="F123" s="38">
        <v>1150</v>
      </c>
      <c r="G123" s="38">
        <v>100</v>
      </c>
      <c r="H123" s="46">
        <v>600</v>
      </c>
      <c r="I123" s="38">
        <v>695</v>
      </c>
      <c r="J123" s="38">
        <v>50</v>
      </c>
      <c r="K123" s="39"/>
      <c r="L123" s="39"/>
      <c r="M123" s="39"/>
      <c r="N123" s="39"/>
      <c r="O123" s="39"/>
      <c r="P123" s="39"/>
      <c r="Q123" s="39"/>
      <c r="R123" s="39"/>
      <c r="S123" s="39"/>
      <c r="T123" s="39"/>
    </row>
    <row r="124" spans="1:20" ht="15.75">
      <c r="A124" s="13">
        <v>44896</v>
      </c>
      <c r="B124" s="47">
        <v>31</v>
      </c>
      <c r="C124" s="38">
        <v>122.58</v>
      </c>
      <c r="D124" s="38">
        <v>297.94099999999997</v>
      </c>
      <c r="E124" s="44">
        <v>729.47900000000004</v>
      </c>
      <c r="F124" s="38">
        <v>1150</v>
      </c>
      <c r="G124" s="38">
        <v>100</v>
      </c>
      <c r="H124" s="46">
        <v>600</v>
      </c>
      <c r="I124" s="38">
        <v>695</v>
      </c>
      <c r="J124" s="38">
        <v>50</v>
      </c>
      <c r="K124" s="39"/>
      <c r="L124" s="39"/>
      <c r="M124" s="39"/>
      <c r="N124" s="39"/>
      <c r="O124" s="39"/>
      <c r="P124" s="39"/>
      <c r="Q124" s="39"/>
      <c r="R124" s="39"/>
      <c r="S124" s="39"/>
      <c r="T124" s="39"/>
    </row>
    <row r="125" spans="1:20" ht="15.75">
      <c r="A125" s="13">
        <v>44927</v>
      </c>
      <c r="B125" s="47">
        <v>31</v>
      </c>
      <c r="C125" s="38">
        <v>122.58</v>
      </c>
      <c r="D125" s="38">
        <v>297.94099999999997</v>
      </c>
      <c r="E125" s="44">
        <v>729.47900000000004</v>
      </c>
      <c r="F125" s="38">
        <v>1150</v>
      </c>
      <c r="G125" s="38">
        <v>100</v>
      </c>
      <c r="H125" s="46">
        <v>600</v>
      </c>
      <c r="I125" s="38">
        <v>695</v>
      </c>
      <c r="J125" s="38">
        <v>50</v>
      </c>
      <c r="K125" s="39"/>
      <c r="L125" s="39"/>
      <c r="M125" s="39"/>
      <c r="N125" s="39"/>
      <c r="O125" s="39"/>
      <c r="P125" s="39"/>
      <c r="Q125" s="39"/>
      <c r="R125" s="39"/>
      <c r="S125" s="39"/>
      <c r="T125" s="39"/>
    </row>
    <row r="126" spans="1:20" ht="15.75">
      <c r="A126" s="13">
        <v>44958</v>
      </c>
      <c r="B126" s="47">
        <v>28</v>
      </c>
      <c r="C126" s="38">
        <v>122.58</v>
      </c>
      <c r="D126" s="38">
        <v>297.94099999999997</v>
      </c>
      <c r="E126" s="44">
        <v>729.47900000000004</v>
      </c>
      <c r="F126" s="38">
        <v>1150</v>
      </c>
      <c r="G126" s="38">
        <v>100</v>
      </c>
      <c r="H126" s="46">
        <v>600</v>
      </c>
      <c r="I126" s="38">
        <v>695</v>
      </c>
      <c r="J126" s="38">
        <v>50</v>
      </c>
      <c r="K126" s="39"/>
      <c r="L126" s="39"/>
      <c r="M126" s="39"/>
      <c r="N126" s="39"/>
      <c r="O126" s="39"/>
      <c r="P126" s="39"/>
      <c r="Q126" s="39"/>
      <c r="R126" s="39"/>
      <c r="S126" s="39"/>
      <c r="T126" s="39"/>
    </row>
    <row r="127" spans="1:20" ht="15.75">
      <c r="A127" s="13">
        <v>44986</v>
      </c>
      <c r="B127" s="47">
        <v>31</v>
      </c>
      <c r="C127" s="38">
        <v>122.58</v>
      </c>
      <c r="D127" s="38">
        <v>297.94099999999997</v>
      </c>
      <c r="E127" s="44">
        <v>729.47900000000004</v>
      </c>
      <c r="F127" s="38">
        <v>1150</v>
      </c>
      <c r="G127" s="38">
        <v>100</v>
      </c>
      <c r="H127" s="46">
        <v>600</v>
      </c>
      <c r="I127" s="38">
        <v>695</v>
      </c>
      <c r="J127" s="38">
        <v>50</v>
      </c>
      <c r="K127" s="39"/>
      <c r="L127" s="39"/>
      <c r="M127" s="39"/>
      <c r="N127" s="39"/>
      <c r="O127" s="39"/>
      <c r="P127" s="39"/>
      <c r="Q127" s="39"/>
      <c r="R127" s="39"/>
      <c r="S127" s="39"/>
      <c r="T127" s="39"/>
    </row>
    <row r="128" spans="1:20" ht="15.75">
      <c r="A128" s="13">
        <v>45017</v>
      </c>
      <c r="B128" s="47">
        <v>30</v>
      </c>
      <c r="C128" s="38">
        <v>141.29300000000001</v>
      </c>
      <c r="D128" s="38">
        <v>267.99299999999999</v>
      </c>
      <c r="E128" s="44">
        <v>829.71400000000006</v>
      </c>
      <c r="F128" s="38">
        <v>1239</v>
      </c>
      <c r="G128" s="38">
        <v>100</v>
      </c>
      <c r="H128" s="46">
        <v>600</v>
      </c>
      <c r="I128" s="38">
        <v>695</v>
      </c>
      <c r="J128" s="38">
        <v>50</v>
      </c>
      <c r="K128" s="39"/>
      <c r="L128" s="39"/>
      <c r="M128" s="39"/>
      <c r="N128" s="39"/>
      <c r="O128" s="39"/>
      <c r="P128" s="39"/>
      <c r="Q128" s="39"/>
      <c r="R128" s="39"/>
      <c r="S128" s="39"/>
      <c r="T128" s="39"/>
    </row>
    <row r="129" spans="1:20" ht="15.75">
      <c r="A129" s="13">
        <v>45047</v>
      </c>
      <c r="B129" s="47">
        <v>31</v>
      </c>
      <c r="C129" s="38">
        <v>194.20500000000001</v>
      </c>
      <c r="D129" s="38">
        <v>267.46600000000001</v>
      </c>
      <c r="E129" s="44">
        <v>812.32899999999995</v>
      </c>
      <c r="F129" s="38">
        <v>1274</v>
      </c>
      <c r="G129" s="38">
        <v>75</v>
      </c>
      <c r="H129" s="46">
        <v>600</v>
      </c>
      <c r="I129" s="38">
        <v>695</v>
      </c>
      <c r="J129" s="38">
        <v>50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15.75">
      <c r="A130" s="13">
        <v>45078</v>
      </c>
      <c r="B130" s="47">
        <v>30</v>
      </c>
      <c r="C130" s="38">
        <v>194.20500000000001</v>
      </c>
      <c r="D130" s="38">
        <v>267.46600000000001</v>
      </c>
      <c r="E130" s="44">
        <v>812.32899999999995</v>
      </c>
      <c r="F130" s="38">
        <v>1274</v>
      </c>
      <c r="G130" s="38">
        <v>50</v>
      </c>
      <c r="H130" s="46">
        <v>600</v>
      </c>
      <c r="I130" s="38">
        <v>695</v>
      </c>
      <c r="J130" s="38">
        <v>50</v>
      </c>
      <c r="K130" s="39"/>
      <c r="L130" s="39"/>
      <c r="M130" s="39"/>
      <c r="N130" s="39"/>
      <c r="O130" s="39"/>
      <c r="P130" s="39"/>
      <c r="Q130" s="39"/>
      <c r="R130" s="39"/>
      <c r="S130" s="39"/>
      <c r="T130" s="39"/>
    </row>
    <row r="131" spans="1:20" ht="15.75">
      <c r="A131" s="13">
        <v>45108</v>
      </c>
      <c r="B131" s="47">
        <v>31</v>
      </c>
      <c r="C131" s="38">
        <v>194.20500000000001</v>
      </c>
      <c r="D131" s="38">
        <v>267.46600000000001</v>
      </c>
      <c r="E131" s="44">
        <v>812.32899999999995</v>
      </c>
      <c r="F131" s="38">
        <v>1274</v>
      </c>
      <c r="G131" s="38">
        <v>50</v>
      </c>
      <c r="H131" s="46">
        <v>600</v>
      </c>
      <c r="I131" s="38">
        <v>695</v>
      </c>
      <c r="J131" s="38">
        <v>0</v>
      </c>
      <c r="K131" s="39"/>
      <c r="L131" s="39"/>
      <c r="M131" s="39"/>
      <c r="N131" s="39"/>
      <c r="O131" s="39"/>
      <c r="P131" s="39"/>
      <c r="Q131" s="39"/>
      <c r="R131" s="39"/>
      <c r="S131" s="39"/>
      <c r="T131" s="39"/>
    </row>
    <row r="132" spans="1:20" ht="15.75">
      <c r="A132" s="13">
        <v>45139</v>
      </c>
      <c r="B132" s="47">
        <v>31</v>
      </c>
      <c r="C132" s="38">
        <v>194.20500000000001</v>
      </c>
      <c r="D132" s="38">
        <v>267.46600000000001</v>
      </c>
      <c r="E132" s="44">
        <v>812.32899999999995</v>
      </c>
      <c r="F132" s="38">
        <v>1274</v>
      </c>
      <c r="G132" s="38">
        <v>50</v>
      </c>
      <c r="H132" s="46">
        <v>600</v>
      </c>
      <c r="I132" s="38">
        <v>695</v>
      </c>
      <c r="J132" s="38">
        <v>0</v>
      </c>
      <c r="K132" s="39"/>
      <c r="L132" s="39"/>
      <c r="M132" s="39"/>
      <c r="N132" s="39"/>
      <c r="O132" s="39"/>
      <c r="P132" s="39"/>
      <c r="Q132" s="39"/>
      <c r="R132" s="39"/>
      <c r="S132" s="39"/>
      <c r="T132" s="39"/>
    </row>
    <row r="133" spans="1:20" ht="15.75">
      <c r="A133" s="13">
        <v>45170</v>
      </c>
      <c r="B133" s="47">
        <v>30</v>
      </c>
      <c r="C133" s="38">
        <v>194.20500000000001</v>
      </c>
      <c r="D133" s="38">
        <v>267.46600000000001</v>
      </c>
      <c r="E133" s="44">
        <v>812.32899999999995</v>
      </c>
      <c r="F133" s="38">
        <v>1274</v>
      </c>
      <c r="G133" s="38">
        <v>50</v>
      </c>
      <c r="H133" s="46">
        <v>600</v>
      </c>
      <c r="I133" s="38">
        <v>695</v>
      </c>
      <c r="J133" s="38">
        <v>0</v>
      </c>
      <c r="K133" s="39"/>
      <c r="L133" s="39"/>
      <c r="M133" s="39"/>
      <c r="N133" s="39"/>
      <c r="O133" s="39"/>
      <c r="P133" s="39"/>
      <c r="Q133" s="39"/>
      <c r="R133" s="39"/>
      <c r="S133" s="39"/>
      <c r="T133" s="39"/>
    </row>
    <row r="134" spans="1:20" ht="15.75">
      <c r="A134" s="13">
        <v>45200</v>
      </c>
      <c r="B134" s="47">
        <v>31</v>
      </c>
      <c r="C134" s="38">
        <v>131.881</v>
      </c>
      <c r="D134" s="38">
        <v>277.16699999999997</v>
      </c>
      <c r="E134" s="44">
        <v>829.952</v>
      </c>
      <c r="F134" s="38">
        <v>1239</v>
      </c>
      <c r="G134" s="38">
        <v>75</v>
      </c>
      <c r="H134" s="46">
        <v>600</v>
      </c>
      <c r="I134" s="38">
        <v>695</v>
      </c>
      <c r="J134" s="38">
        <v>0</v>
      </c>
      <c r="K134" s="39"/>
      <c r="L134" s="39"/>
      <c r="M134" s="39"/>
      <c r="N134" s="39"/>
      <c r="O134" s="39"/>
      <c r="P134" s="39"/>
      <c r="Q134" s="39"/>
      <c r="R134" s="39"/>
      <c r="S134" s="39"/>
      <c r="T134" s="39"/>
    </row>
    <row r="135" spans="1:20" ht="15.75">
      <c r="A135" s="13">
        <v>45231</v>
      </c>
      <c r="B135" s="47">
        <v>30</v>
      </c>
      <c r="C135" s="38">
        <v>122.58</v>
      </c>
      <c r="D135" s="38">
        <v>297.94099999999997</v>
      </c>
      <c r="E135" s="44">
        <v>729.47900000000004</v>
      </c>
      <c r="F135" s="38">
        <v>1150</v>
      </c>
      <c r="G135" s="38">
        <v>100</v>
      </c>
      <c r="H135" s="46">
        <v>600</v>
      </c>
      <c r="I135" s="38">
        <v>695</v>
      </c>
      <c r="J135" s="38">
        <v>50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</row>
    <row r="136" spans="1:20" ht="15.75">
      <c r="A136" s="13">
        <v>45261</v>
      </c>
      <c r="B136" s="47">
        <v>31</v>
      </c>
      <c r="C136" s="38">
        <v>122.58</v>
      </c>
      <c r="D136" s="38">
        <v>297.94099999999997</v>
      </c>
      <c r="E136" s="44">
        <v>729.47900000000004</v>
      </c>
      <c r="F136" s="38">
        <v>1150</v>
      </c>
      <c r="G136" s="38">
        <v>100</v>
      </c>
      <c r="H136" s="46">
        <v>600</v>
      </c>
      <c r="I136" s="38">
        <v>695</v>
      </c>
      <c r="J136" s="38">
        <v>50</v>
      </c>
      <c r="K136" s="39"/>
      <c r="L136" s="39"/>
      <c r="M136" s="39"/>
      <c r="N136" s="39"/>
      <c r="O136" s="39"/>
      <c r="P136" s="39"/>
      <c r="Q136" s="39"/>
      <c r="R136" s="39"/>
      <c r="S136" s="39"/>
      <c r="T136" s="39"/>
    </row>
    <row r="137" spans="1:20" ht="15.75">
      <c r="A137" s="13">
        <v>45292</v>
      </c>
      <c r="B137" s="47">
        <v>31</v>
      </c>
      <c r="C137" s="38">
        <v>122.58</v>
      </c>
      <c r="D137" s="38">
        <v>297.94099999999997</v>
      </c>
      <c r="E137" s="44">
        <v>729.47900000000004</v>
      </c>
      <c r="F137" s="38">
        <v>1150</v>
      </c>
      <c r="G137" s="38">
        <v>100</v>
      </c>
      <c r="H137" s="46">
        <v>600</v>
      </c>
      <c r="I137" s="38">
        <v>695</v>
      </c>
      <c r="J137" s="38">
        <v>50</v>
      </c>
      <c r="K137" s="39"/>
      <c r="L137" s="39"/>
      <c r="M137" s="39"/>
      <c r="N137" s="39"/>
      <c r="O137" s="39"/>
      <c r="P137" s="39"/>
      <c r="Q137" s="39"/>
      <c r="R137" s="39"/>
      <c r="S137" s="39"/>
      <c r="T137" s="39"/>
    </row>
    <row r="138" spans="1:20" ht="15.75">
      <c r="A138" s="13">
        <v>45323</v>
      </c>
      <c r="B138" s="47">
        <v>29</v>
      </c>
      <c r="C138" s="38">
        <v>122.58</v>
      </c>
      <c r="D138" s="38">
        <v>297.94099999999997</v>
      </c>
      <c r="E138" s="44">
        <v>729.47900000000004</v>
      </c>
      <c r="F138" s="38">
        <v>1150</v>
      </c>
      <c r="G138" s="38">
        <v>100</v>
      </c>
      <c r="H138" s="46">
        <v>600</v>
      </c>
      <c r="I138" s="38">
        <v>695</v>
      </c>
      <c r="J138" s="38">
        <v>50</v>
      </c>
      <c r="K138" s="39"/>
      <c r="L138" s="39"/>
      <c r="M138" s="39"/>
      <c r="N138" s="39"/>
      <c r="O138" s="39"/>
      <c r="P138" s="39"/>
      <c r="Q138" s="39"/>
      <c r="R138" s="39"/>
      <c r="S138" s="39"/>
      <c r="T138" s="39"/>
    </row>
    <row r="139" spans="1:20" ht="15.75">
      <c r="A139" s="13">
        <v>45352</v>
      </c>
      <c r="B139" s="47">
        <v>31</v>
      </c>
      <c r="C139" s="38">
        <v>122.58</v>
      </c>
      <c r="D139" s="38">
        <v>297.94099999999997</v>
      </c>
      <c r="E139" s="44">
        <v>729.47900000000004</v>
      </c>
      <c r="F139" s="38">
        <v>1150</v>
      </c>
      <c r="G139" s="38">
        <v>100</v>
      </c>
      <c r="H139" s="46">
        <v>600</v>
      </c>
      <c r="I139" s="38">
        <v>695</v>
      </c>
      <c r="J139" s="38">
        <v>50</v>
      </c>
      <c r="K139" s="39"/>
      <c r="L139" s="39"/>
      <c r="M139" s="39"/>
      <c r="N139" s="39"/>
      <c r="O139" s="39"/>
      <c r="P139" s="39"/>
      <c r="Q139" s="39"/>
      <c r="R139" s="39"/>
      <c r="S139" s="39"/>
      <c r="T139" s="39"/>
    </row>
    <row r="140" spans="1:20" ht="15.75">
      <c r="A140" s="13">
        <v>45383</v>
      </c>
      <c r="B140" s="47">
        <v>30</v>
      </c>
      <c r="C140" s="38">
        <v>141.29300000000001</v>
      </c>
      <c r="D140" s="38">
        <v>267.99299999999999</v>
      </c>
      <c r="E140" s="44">
        <v>829.71400000000006</v>
      </c>
      <c r="F140" s="38">
        <v>1239</v>
      </c>
      <c r="G140" s="38">
        <v>100</v>
      </c>
      <c r="H140" s="46">
        <v>600</v>
      </c>
      <c r="I140" s="38">
        <v>695</v>
      </c>
      <c r="J140" s="38">
        <v>50</v>
      </c>
      <c r="K140" s="39"/>
      <c r="L140" s="39"/>
      <c r="M140" s="39"/>
      <c r="N140" s="39"/>
      <c r="O140" s="39"/>
      <c r="P140" s="39"/>
      <c r="Q140" s="39"/>
      <c r="R140" s="39"/>
      <c r="S140" s="39"/>
      <c r="T140" s="39"/>
    </row>
    <row r="141" spans="1:20" ht="15.75">
      <c r="A141" s="13">
        <v>45413</v>
      </c>
      <c r="B141" s="47">
        <v>31</v>
      </c>
      <c r="C141" s="38">
        <v>194.20500000000001</v>
      </c>
      <c r="D141" s="38">
        <v>267.46600000000001</v>
      </c>
      <c r="E141" s="44">
        <v>812.32899999999995</v>
      </c>
      <c r="F141" s="38">
        <v>1274</v>
      </c>
      <c r="G141" s="38">
        <v>75</v>
      </c>
      <c r="H141" s="46">
        <v>600</v>
      </c>
      <c r="I141" s="38">
        <v>695</v>
      </c>
      <c r="J141" s="38">
        <v>50</v>
      </c>
      <c r="K141" s="39"/>
      <c r="L141" s="39"/>
      <c r="M141" s="39"/>
      <c r="N141" s="39"/>
      <c r="O141" s="39"/>
      <c r="P141" s="39"/>
      <c r="Q141" s="39"/>
      <c r="R141" s="39"/>
      <c r="S141" s="39"/>
      <c r="T141" s="39"/>
    </row>
    <row r="142" spans="1:20" ht="15.75">
      <c r="A142" s="13">
        <v>45444</v>
      </c>
      <c r="B142" s="47">
        <v>30</v>
      </c>
      <c r="C142" s="38">
        <v>194.20500000000001</v>
      </c>
      <c r="D142" s="38">
        <v>267.46600000000001</v>
      </c>
      <c r="E142" s="44">
        <v>812.32899999999995</v>
      </c>
      <c r="F142" s="38">
        <v>1274</v>
      </c>
      <c r="G142" s="38">
        <v>50</v>
      </c>
      <c r="H142" s="46">
        <v>600</v>
      </c>
      <c r="I142" s="38">
        <v>695</v>
      </c>
      <c r="J142" s="38">
        <v>50</v>
      </c>
      <c r="K142" s="39"/>
      <c r="L142" s="39"/>
      <c r="M142" s="39"/>
      <c r="N142" s="39"/>
      <c r="O142" s="39"/>
      <c r="P142" s="39"/>
      <c r="Q142" s="39"/>
      <c r="R142" s="39"/>
      <c r="S142" s="39"/>
      <c r="T142" s="39"/>
    </row>
    <row r="143" spans="1:20" ht="15.75">
      <c r="A143" s="13">
        <v>45474</v>
      </c>
      <c r="B143" s="47">
        <v>31</v>
      </c>
      <c r="C143" s="38">
        <v>194.20500000000001</v>
      </c>
      <c r="D143" s="38">
        <v>267.46600000000001</v>
      </c>
      <c r="E143" s="44">
        <v>812.32899999999995</v>
      </c>
      <c r="F143" s="38">
        <v>1274</v>
      </c>
      <c r="G143" s="38">
        <v>50</v>
      </c>
      <c r="H143" s="46">
        <v>600</v>
      </c>
      <c r="I143" s="38">
        <v>695</v>
      </c>
      <c r="J143" s="38">
        <v>0</v>
      </c>
      <c r="K143" s="39"/>
      <c r="L143" s="39"/>
      <c r="M143" s="39"/>
      <c r="N143" s="39"/>
      <c r="O143" s="39"/>
      <c r="P143" s="39"/>
      <c r="Q143" s="39"/>
      <c r="R143" s="39"/>
      <c r="S143" s="39"/>
      <c r="T143" s="39"/>
    </row>
    <row r="144" spans="1:20" ht="15.75">
      <c r="A144" s="13">
        <v>45505</v>
      </c>
      <c r="B144" s="47">
        <v>31</v>
      </c>
      <c r="C144" s="38">
        <v>194.20500000000001</v>
      </c>
      <c r="D144" s="38">
        <v>267.46600000000001</v>
      </c>
      <c r="E144" s="44">
        <v>812.32899999999995</v>
      </c>
      <c r="F144" s="38">
        <v>1274</v>
      </c>
      <c r="G144" s="38">
        <v>50</v>
      </c>
      <c r="H144" s="46">
        <v>600</v>
      </c>
      <c r="I144" s="38">
        <v>695</v>
      </c>
      <c r="J144" s="38">
        <v>0</v>
      </c>
      <c r="K144" s="39"/>
      <c r="L144" s="39"/>
      <c r="M144" s="39"/>
      <c r="N144" s="39"/>
      <c r="O144" s="39"/>
      <c r="P144" s="39"/>
      <c r="Q144" s="39"/>
      <c r="R144" s="39"/>
      <c r="S144" s="39"/>
      <c r="T144" s="39"/>
    </row>
    <row r="145" spans="1:20" ht="15.75">
      <c r="A145" s="13">
        <v>45536</v>
      </c>
      <c r="B145" s="47">
        <v>30</v>
      </c>
      <c r="C145" s="38">
        <v>194.20500000000001</v>
      </c>
      <c r="D145" s="38">
        <v>267.46600000000001</v>
      </c>
      <c r="E145" s="44">
        <v>812.32899999999995</v>
      </c>
      <c r="F145" s="38">
        <v>1274</v>
      </c>
      <c r="G145" s="38">
        <v>50</v>
      </c>
      <c r="H145" s="46">
        <v>600</v>
      </c>
      <c r="I145" s="38">
        <v>695</v>
      </c>
      <c r="J145" s="38">
        <v>0</v>
      </c>
      <c r="K145" s="39"/>
      <c r="L145" s="39"/>
      <c r="M145" s="39"/>
      <c r="N145" s="39"/>
      <c r="O145" s="39"/>
      <c r="P145" s="39"/>
      <c r="Q145" s="39"/>
      <c r="R145" s="39"/>
      <c r="S145" s="39"/>
      <c r="T145" s="39"/>
    </row>
    <row r="146" spans="1:20" ht="15.75">
      <c r="A146" s="13">
        <v>45566</v>
      </c>
      <c r="B146" s="47">
        <v>31</v>
      </c>
      <c r="C146" s="38">
        <v>131.881</v>
      </c>
      <c r="D146" s="38">
        <v>277.16699999999997</v>
      </c>
      <c r="E146" s="44">
        <v>829.952</v>
      </c>
      <c r="F146" s="38">
        <v>1239</v>
      </c>
      <c r="G146" s="38">
        <v>75</v>
      </c>
      <c r="H146" s="46">
        <v>600</v>
      </c>
      <c r="I146" s="38">
        <v>695</v>
      </c>
      <c r="J146" s="38">
        <v>0</v>
      </c>
      <c r="K146" s="39"/>
      <c r="L146" s="39"/>
      <c r="M146" s="39"/>
      <c r="N146" s="39"/>
      <c r="O146" s="39"/>
      <c r="P146" s="39"/>
      <c r="Q146" s="39"/>
      <c r="R146" s="39"/>
      <c r="S146" s="39"/>
      <c r="T146" s="39"/>
    </row>
    <row r="147" spans="1:20" ht="15.75">
      <c r="A147" s="13">
        <v>45597</v>
      </c>
      <c r="B147" s="47">
        <v>30</v>
      </c>
      <c r="C147" s="38">
        <v>122.58</v>
      </c>
      <c r="D147" s="38">
        <v>297.94099999999997</v>
      </c>
      <c r="E147" s="44">
        <v>729.47900000000004</v>
      </c>
      <c r="F147" s="38">
        <v>1150</v>
      </c>
      <c r="G147" s="38">
        <v>100</v>
      </c>
      <c r="H147" s="46">
        <v>600</v>
      </c>
      <c r="I147" s="38">
        <v>695</v>
      </c>
      <c r="J147" s="38">
        <v>50</v>
      </c>
      <c r="K147" s="39"/>
      <c r="L147" s="39"/>
      <c r="M147" s="39"/>
      <c r="N147" s="39"/>
      <c r="O147" s="39"/>
      <c r="P147" s="39"/>
      <c r="Q147" s="39"/>
      <c r="R147" s="39"/>
      <c r="S147" s="39"/>
      <c r="T147" s="39"/>
    </row>
    <row r="148" spans="1:20" ht="15.75">
      <c r="A148" s="13">
        <v>45627</v>
      </c>
      <c r="B148" s="47">
        <v>31</v>
      </c>
      <c r="C148" s="38">
        <v>122.58</v>
      </c>
      <c r="D148" s="38">
        <v>297.94099999999997</v>
      </c>
      <c r="E148" s="44">
        <v>729.47900000000004</v>
      </c>
      <c r="F148" s="38">
        <v>1150</v>
      </c>
      <c r="G148" s="38">
        <v>100</v>
      </c>
      <c r="H148" s="46">
        <v>600</v>
      </c>
      <c r="I148" s="38">
        <v>695</v>
      </c>
      <c r="J148" s="38">
        <v>50</v>
      </c>
      <c r="K148" s="39"/>
      <c r="L148" s="39"/>
      <c r="M148" s="39"/>
      <c r="N148" s="39"/>
      <c r="O148" s="39"/>
      <c r="P148" s="39"/>
      <c r="Q148" s="39"/>
      <c r="R148" s="39"/>
      <c r="S148" s="39"/>
      <c r="T148" s="39"/>
    </row>
    <row r="149" spans="1:20" ht="15.75">
      <c r="A149" s="13">
        <v>45658</v>
      </c>
      <c r="B149" s="47">
        <v>31</v>
      </c>
      <c r="C149" s="38">
        <v>122.58</v>
      </c>
      <c r="D149" s="38">
        <v>297.94099999999997</v>
      </c>
      <c r="E149" s="44">
        <v>729.47900000000004</v>
      </c>
      <c r="F149" s="38">
        <v>1150</v>
      </c>
      <c r="G149" s="38">
        <v>100</v>
      </c>
      <c r="H149" s="46">
        <v>600</v>
      </c>
      <c r="I149" s="38">
        <v>695</v>
      </c>
      <c r="J149" s="38">
        <v>50</v>
      </c>
      <c r="K149" s="39"/>
      <c r="L149" s="39"/>
      <c r="M149" s="39"/>
      <c r="N149" s="39"/>
      <c r="O149" s="39"/>
      <c r="P149" s="39"/>
      <c r="Q149" s="39"/>
      <c r="R149" s="39"/>
      <c r="S149" s="39"/>
      <c r="T149" s="39"/>
    </row>
    <row r="150" spans="1:20" ht="15.75">
      <c r="A150" s="13">
        <v>45689</v>
      </c>
      <c r="B150" s="47">
        <v>28</v>
      </c>
      <c r="C150" s="38">
        <v>122.58</v>
      </c>
      <c r="D150" s="38">
        <v>297.94099999999997</v>
      </c>
      <c r="E150" s="44">
        <v>729.47900000000004</v>
      </c>
      <c r="F150" s="38">
        <v>1150</v>
      </c>
      <c r="G150" s="38">
        <v>100</v>
      </c>
      <c r="H150" s="46">
        <v>600</v>
      </c>
      <c r="I150" s="38">
        <v>695</v>
      </c>
      <c r="J150" s="38">
        <v>50</v>
      </c>
      <c r="K150" s="39"/>
      <c r="L150" s="39"/>
      <c r="M150" s="39"/>
      <c r="N150" s="39"/>
      <c r="O150" s="39"/>
      <c r="P150" s="39"/>
      <c r="Q150" s="39"/>
      <c r="R150" s="39"/>
      <c r="S150" s="39"/>
      <c r="T150" s="39"/>
    </row>
    <row r="151" spans="1:20" ht="15.75">
      <c r="A151" s="13">
        <v>45717</v>
      </c>
      <c r="B151" s="47">
        <v>31</v>
      </c>
      <c r="C151" s="38">
        <v>122.58</v>
      </c>
      <c r="D151" s="38">
        <v>297.94099999999997</v>
      </c>
      <c r="E151" s="44">
        <v>729.47900000000004</v>
      </c>
      <c r="F151" s="38">
        <v>1150</v>
      </c>
      <c r="G151" s="38">
        <v>100</v>
      </c>
      <c r="H151" s="46">
        <v>600</v>
      </c>
      <c r="I151" s="38">
        <v>695</v>
      </c>
      <c r="J151" s="38">
        <v>50</v>
      </c>
      <c r="K151" s="39"/>
      <c r="L151" s="39"/>
      <c r="M151" s="39"/>
      <c r="N151" s="39"/>
      <c r="O151" s="39"/>
      <c r="P151" s="39"/>
      <c r="Q151" s="39"/>
      <c r="R151" s="39"/>
      <c r="S151" s="39"/>
      <c r="T151" s="39"/>
    </row>
    <row r="152" spans="1:20" ht="15.75">
      <c r="A152" s="13">
        <v>45748</v>
      </c>
      <c r="B152" s="47">
        <v>30</v>
      </c>
      <c r="C152" s="38">
        <v>141.29300000000001</v>
      </c>
      <c r="D152" s="38">
        <v>267.99299999999999</v>
      </c>
      <c r="E152" s="44">
        <v>829.71400000000006</v>
      </c>
      <c r="F152" s="38">
        <v>1239</v>
      </c>
      <c r="G152" s="38">
        <v>100</v>
      </c>
      <c r="H152" s="46">
        <v>600</v>
      </c>
      <c r="I152" s="38">
        <v>695</v>
      </c>
      <c r="J152" s="38">
        <v>50</v>
      </c>
      <c r="K152" s="39"/>
      <c r="L152" s="39"/>
      <c r="M152" s="39"/>
      <c r="N152" s="39"/>
      <c r="O152" s="39"/>
      <c r="P152" s="39"/>
      <c r="Q152" s="39"/>
      <c r="R152" s="39"/>
      <c r="S152" s="39"/>
      <c r="T152" s="39"/>
    </row>
    <row r="153" spans="1:20" ht="15.75">
      <c r="A153" s="13">
        <v>45778</v>
      </c>
      <c r="B153" s="47">
        <v>31</v>
      </c>
      <c r="C153" s="38">
        <v>194.20500000000001</v>
      </c>
      <c r="D153" s="38">
        <v>267.46600000000001</v>
      </c>
      <c r="E153" s="44">
        <v>812.32899999999995</v>
      </c>
      <c r="F153" s="38">
        <v>1274</v>
      </c>
      <c r="G153" s="38">
        <v>75</v>
      </c>
      <c r="H153" s="46">
        <v>600</v>
      </c>
      <c r="I153" s="38">
        <v>695</v>
      </c>
      <c r="J153" s="38">
        <v>50</v>
      </c>
      <c r="K153" s="39"/>
      <c r="L153" s="39"/>
      <c r="M153" s="39"/>
      <c r="N153" s="39"/>
      <c r="O153" s="39"/>
      <c r="P153" s="39"/>
      <c r="Q153" s="39"/>
      <c r="R153" s="39"/>
      <c r="S153" s="39"/>
      <c r="T153" s="39"/>
    </row>
    <row r="154" spans="1:20" ht="15.75">
      <c r="A154" s="13">
        <v>45809</v>
      </c>
      <c r="B154" s="47">
        <v>30</v>
      </c>
      <c r="C154" s="38">
        <v>194.20500000000001</v>
      </c>
      <c r="D154" s="38">
        <v>267.46600000000001</v>
      </c>
      <c r="E154" s="44">
        <v>812.32899999999995</v>
      </c>
      <c r="F154" s="38">
        <v>1274</v>
      </c>
      <c r="G154" s="38">
        <v>50</v>
      </c>
      <c r="H154" s="46">
        <v>600</v>
      </c>
      <c r="I154" s="38">
        <v>695</v>
      </c>
      <c r="J154" s="38">
        <v>50</v>
      </c>
      <c r="K154" s="39"/>
      <c r="L154" s="39"/>
      <c r="M154" s="39"/>
      <c r="N154" s="39"/>
      <c r="O154" s="39"/>
      <c r="P154" s="39"/>
      <c r="Q154" s="39"/>
      <c r="R154" s="39"/>
      <c r="S154" s="39"/>
      <c r="T154" s="39"/>
    </row>
    <row r="155" spans="1:20" ht="15.75">
      <c r="A155" s="13">
        <v>45839</v>
      </c>
      <c r="B155" s="47">
        <v>31</v>
      </c>
      <c r="C155" s="38">
        <v>194.20500000000001</v>
      </c>
      <c r="D155" s="38">
        <v>267.46600000000001</v>
      </c>
      <c r="E155" s="44">
        <v>812.32899999999995</v>
      </c>
      <c r="F155" s="38">
        <v>1274</v>
      </c>
      <c r="G155" s="38">
        <v>50</v>
      </c>
      <c r="H155" s="46">
        <v>600</v>
      </c>
      <c r="I155" s="38">
        <v>695</v>
      </c>
      <c r="J155" s="38">
        <v>0</v>
      </c>
      <c r="K155" s="39"/>
      <c r="L155" s="39"/>
      <c r="M155" s="39"/>
      <c r="N155" s="39"/>
      <c r="O155" s="39"/>
      <c r="P155" s="39"/>
      <c r="Q155" s="39"/>
      <c r="R155" s="39"/>
      <c r="S155" s="39"/>
      <c r="T155" s="39"/>
    </row>
    <row r="156" spans="1:20" ht="15.75">
      <c r="A156" s="13">
        <v>45870</v>
      </c>
      <c r="B156" s="47">
        <v>31</v>
      </c>
      <c r="C156" s="38">
        <v>194.20500000000001</v>
      </c>
      <c r="D156" s="38">
        <v>267.46600000000001</v>
      </c>
      <c r="E156" s="44">
        <v>812.32899999999995</v>
      </c>
      <c r="F156" s="38">
        <v>1274</v>
      </c>
      <c r="G156" s="38">
        <v>50</v>
      </c>
      <c r="H156" s="46">
        <v>600</v>
      </c>
      <c r="I156" s="38">
        <v>695</v>
      </c>
      <c r="J156" s="38">
        <v>0</v>
      </c>
      <c r="K156" s="39"/>
      <c r="L156" s="39"/>
      <c r="M156" s="39"/>
      <c r="N156" s="39"/>
      <c r="O156" s="39"/>
      <c r="P156" s="39"/>
      <c r="Q156" s="39"/>
      <c r="R156" s="39"/>
      <c r="S156" s="39"/>
      <c r="T156" s="39"/>
    </row>
    <row r="157" spans="1:20" ht="15.75">
      <c r="A157" s="13">
        <v>45901</v>
      </c>
      <c r="B157" s="47">
        <v>30</v>
      </c>
      <c r="C157" s="38">
        <v>194.20500000000001</v>
      </c>
      <c r="D157" s="38">
        <v>267.46600000000001</v>
      </c>
      <c r="E157" s="44">
        <v>812.32899999999995</v>
      </c>
      <c r="F157" s="38">
        <v>1274</v>
      </c>
      <c r="G157" s="38">
        <v>50</v>
      </c>
      <c r="H157" s="46">
        <v>600</v>
      </c>
      <c r="I157" s="38">
        <v>695</v>
      </c>
      <c r="J157" s="38">
        <v>0</v>
      </c>
      <c r="K157" s="39"/>
      <c r="L157" s="39"/>
      <c r="M157" s="39"/>
      <c r="N157" s="39"/>
      <c r="O157" s="39"/>
      <c r="P157" s="39"/>
      <c r="Q157" s="39"/>
      <c r="R157" s="39"/>
      <c r="S157" s="39"/>
      <c r="T157" s="39"/>
    </row>
    <row r="158" spans="1:20" ht="15.75">
      <c r="A158" s="13">
        <v>45931</v>
      </c>
      <c r="B158" s="47">
        <v>31</v>
      </c>
      <c r="C158" s="38">
        <v>131.881</v>
      </c>
      <c r="D158" s="38">
        <v>277.16699999999997</v>
      </c>
      <c r="E158" s="44">
        <v>829.952</v>
      </c>
      <c r="F158" s="38">
        <v>1239</v>
      </c>
      <c r="G158" s="38">
        <v>75</v>
      </c>
      <c r="H158" s="46">
        <v>600</v>
      </c>
      <c r="I158" s="38">
        <v>695</v>
      </c>
      <c r="J158" s="38">
        <v>0</v>
      </c>
      <c r="K158" s="39"/>
      <c r="L158" s="39"/>
      <c r="M158" s="39"/>
      <c r="N158" s="39"/>
      <c r="O158" s="39"/>
      <c r="P158" s="39"/>
      <c r="Q158" s="39"/>
      <c r="R158" s="39"/>
      <c r="S158" s="39"/>
      <c r="T158" s="39"/>
    </row>
    <row r="159" spans="1:20" ht="15.75">
      <c r="A159" s="13">
        <v>45962</v>
      </c>
      <c r="B159" s="47">
        <v>30</v>
      </c>
      <c r="C159" s="38">
        <v>122.58</v>
      </c>
      <c r="D159" s="38">
        <v>297.94099999999997</v>
      </c>
      <c r="E159" s="44">
        <v>729.47900000000004</v>
      </c>
      <c r="F159" s="38">
        <v>1150</v>
      </c>
      <c r="G159" s="38">
        <v>100</v>
      </c>
      <c r="H159" s="46">
        <v>600</v>
      </c>
      <c r="I159" s="38">
        <v>695</v>
      </c>
      <c r="J159" s="38">
        <v>50</v>
      </c>
      <c r="K159" s="39"/>
      <c r="L159" s="39"/>
      <c r="M159" s="39"/>
      <c r="N159" s="39"/>
      <c r="O159" s="39"/>
      <c r="P159" s="39"/>
      <c r="Q159" s="39"/>
      <c r="R159" s="39"/>
      <c r="S159" s="39"/>
      <c r="T159" s="39"/>
    </row>
    <row r="160" spans="1:20" ht="15.75">
      <c r="A160" s="13">
        <v>45992</v>
      </c>
      <c r="B160" s="47">
        <v>31</v>
      </c>
      <c r="C160" s="38">
        <v>122.58</v>
      </c>
      <c r="D160" s="38">
        <v>297.94099999999997</v>
      </c>
      <c r="E160" s="44">
        <v>729.47900000000004</v>
      </c>
      <c r="F160" s="38">
        <v>1150</v>
      </c>
      <c r="G160" s="38">
        <v>100</v>
      </c>
      <c r="H160" s="46">
        <v>600</v>
      </c>
      <c r="I160" s="38">
        <v>695</v>
      </c>
      <c r="J160" s="38">
        <v>50</v>
      </c>
      <c r="K160" s="39"/>
      <c r="L160" s="39"/>
      <c r="M160" s="39"/>
      <c r="N160" s="39"/>
      <c r="O160" s="39"/>
      <c r="P160" s="39"/>
      <c r="Q160" s="39"/>
      <c r="R160" s="39"/>
      <c r="S160" s="39"/>
      <c r="T160" s="39"/>
    </row>
    <row r="161" spans="1:20" ht="15.75">
      <c r="A161" s="13">
        <v>46023</v>
      </c>
      <c r="B161" s="47">
        <v>31</v>
      </c>
      <c r="C161" s="38">
        <v>122.58</v>
      </c>
      <c r="D161" s="38">
        <v>297.94099999999997</v>
      </c>
      <c r="E161" s="44">
        <v>729.47900000000004</v>
      </c>
      <c r="F161" s="38">
        <v>1150</v>
      </c>
      <c r="G161" s="38">
        <v>100</v>
      </c>
      <c r="H161" s="46">
        <v>600</v>
      </c>
      <c r="I161" s="38">
        <v>695</v>
      </c>
      <c r="J161" s="38">
        <v>50</v>
      </c>
      <c r="K161" s="39"/>
      <c r="L161" s="39"/>
      <c r="M161" s="39"/>
      <c r="N161" s="39"/>
      <c r="O161" s="39"/>
      <c r="P161" s="39"/>
      <c r="Q161" s="39"/>
      <c r="R161" s="39"/>
      <c r="S161" s="39"/>
      <c r="T161" s="39"/>
    </row>
    <row r="162" spans="1:20" ht="15.75">
      <c r="A162" s="13">
        <v>46054</v>
      </c>
      <c r="B162" s="47">
        <v>28</v>
      </c>
      <c r="C162" s="38">
        <v>122.58</v>
      </c>
      <c r="D162" s="38">
        <v>297.94099999999997</v>
      </c>
      <c r="E162" s="44">
        <v>729.47900000000004</v>
      </c>
      <c r="F162" s="38">
        <v>1150</v>
      </c>
      <c r="G162" s="38">
        <v>100</v>
      </c>
      <c r="H162" s="46">
        <v>600</v>
      </c>
      <c r="I162" s="38">
        <v>695</v>
      </c>
      <c r="J162" s="38">
        <v>50</v>
      </c>
      <c r="K162" s="39"/>
      <c r="L162" s="39"/>
      <c r="M162" s="39"/>
      <c r="N162" s="39"/>
      <c r="O162" s="39"/>
      <c r="P162" s="39"/>
      <c r="Q162" s="39"/>
      <c r="R162" s="39"/>
      <c r="S162" s="39"/>
      <c r="T162" s="39"/>
    </row>
    <row r="163" spans="1:20" ht="15.75">
      <c r="A163" s="13">
        <v>46082</v>
      </c>
      <c r="B163" s="47">
        <v>31</v>
      </c>
      <c r="C163" s="38">
        <v>122.58</v>
      </c>
      <c r="D163" s="38">
        <v>297.94099999999997</v>
      </c>
      <c r="E163" s="44">
        <v>729.47900000000004</v>
      </c>
      <c r="F163" s="38">
        <v>1150</v>
      </c>
      <c r="G163" s="38">
        <v>100</v>
      </c>
      <c r="H163" s="46">
        <v>600</v>
      </c>
      <c r="I163" s="38">
        <v>695</v>
      </c>
      <c r="J163" s="38">
        <v>50</v>
      </c>
      <c r="K163" s="39"/>
      <c r="L163" s="39"/>
      <c r="M163" s="39"/>
      <c r="N163" s="39"/>
      <c r="O163" s="39"/>
      <c r="P163" s="39"/>
      <c r="Q163" s="39"/>
      <c r="R163" s="39"/>
      <c r="S163" s="39"/>
      <c r="T163" s="39"/>
    </row>
    <row r="164" spans="1:20" ht="15.75">
      <c r="A164" s="13">
        <v>46113</v>
      </c>
      <c r="B164" s="47">
        <v>30</v>
      </c>
      <c r="C164" s="38">
        <v>141.29300000000001</v>
      </c>
      <c r="D164" s="38">
        <v>267.99299999999999</v>
      </c>
      <c r="E164" s="44">
        <v>829.71400000000006</v>
      </c>
      <c r="F164" s="38">
        <v>1239</v>
      </c>
      <c r="G164" s="38">
        <v>100</v>
      </c>
      <c r="H164" s="46">
        <v>600</v>
      </c>
      <c r="I164" s="38">
        <v>695</v>
      </c>
      <c r="J164" s="38">
        <v>50</v>
      </c>
      <c r="K164" s="39"/>
      <c r="L164" s="39"/>
      <c r="M164" s="39"/>
      <c r="N164" s="39"/>
      <c r="O164" s="39"/>
      <c r="P164" s="39"/>
      <c r="Q164" s="39"/>
      <c r="R164" s="39"/>
      <c r="S164" s="39"/>
      <c r="T164" s="39"/>
    </row>
    <row r="165" spans="1:20" ht="15.75">
      <c r="A165" s="13">
        <v>46143</v>
      </c>
      <c r="B165" s="47">
        <v>31</v>
      </c>
      <c r="C165" s="38">
        <v>194.20500000000001</v>
      </c>
      <c r="D165" s="38">
        <v>267.46600000000001</v>
      </c>
      <c r="E165" s="44">
        <v>812.32899999999995</v>
      </c>
      <c r="F165" s="38">
        <v>1274</v>
      </c>
      <c r="G165" s="38">
        <v>75</v>
      </c>
      <c r="H165" s="46">
        <v>600</v>
      </c>
      <c r="I165" s="38">
        <v>695</v>
      </c>
      <c r="J165" s="38">
        <v>50</v>
      </c>
      <c r="K165" s="39"/>
      <c r="L165" s="39"/>
      <c r="M165" s="39"/>
      <c r="N165" s="39"/>
      <c r="O165" s="39"/>
      <c r="P165" s="39"/>
      <c r="Q165" s="39"/>
      <c r="R165" s="39"/>
      <c r="S165" s="39"/>
      <c r="T165" s="39"/>
    </row>
    <row r="166" spans="1:20" ht="15.75">
      <c r="A166" s="13">
        <v>46174</v>
      </c>
      <c r="B166" s="47">
        <v>30</v>
      </c>
      <c r="C166" s="38">
        <v>194.20500000000001</v>
      </c>
      <c r="D166" s="38">
        <v>267.46600000000001</v>
      </c>
      <c r="E166" s="44">
        <v>812.32899999999995</v>
      </c>
      <c r="F166" s="38">
        <v>1274</v>
      </c>
      <c r="G166" s="38">
        <v>50</v>
      </c>
      <c r="H166" s="46">
        <v>600</v>
      </c>
      <c r="I166" s="38">
        <v>695</v>
      </c>
      <c r="J166" s="38">
        <v>50</v>
      </c>
      <c r="K166" s="39"/>
      <c r="L166" s="39"/>
      <c r="M166" s="39"/>
      <c r="N166" s="39"/>
      <c r="O166" s="39"/>
      <c r="P166" s="39"/>
      <c r="Q166" s="39"/>
      <c r="R166" s="39"/>
      <c r="S166" s="39"/>
      <c r="T166" s="39"/>
    </row>
    <row r="167" spans="1:20" ht="15.75">
      <c r="A167" s="13">
        <v>46204</v>
      </c>
      <c r="B167" s="47">
        <v>31</v>
      </c>
      <c r="C167" s="38">
        <v>194.20500000000001</v>
      </c>
      <c r="D167" s="38">
        <v>267.46600000000001</v>
      </c>
      <c r="E167" s="44">
        <v>812.32899999999995</v>
      </c>
      <c r="F167" s="38">
        <v>1274</v>
      </c>
      <c r="G167" s="38">
        <v>50</v>
      </c>
      <c r="H167" s="46">
        <v>600</v>
      </c>
      <c r="I167" s="38">
        <v>695</v>
      </c>
      <c r="J167" s="38">
        <v>0</v>
      </c>
      <c r="K167" s="39"/>
      <c r="L167" s="39"/>
      <c r="M167" s="39"/>
      <c r="N167" s="39"/>
      <c r="O167" s="39"/>
      <c r="P167" s="39"/>
      <c r="Q167" s="39"/>
      <c r="R167" s="39"/>
      <c r="S167" s="39"/>
      <c r="T167" s="39"/>
    </row>
    <row r="168" spans="1:20" ht="15.75">
      <c r="A168" s="13">
        <v>46235</v>
      </c>
      <c r="B168" s="47">
        <v>31</v>
      </c>
      <c r="C168" s="38">
        <v>194.20500000000001</v>
      </c>
      <c r="D168" s="38">
        <v>267.46600000000001</v>
      </c>
      <c r="E168" s="44">
        <v>812.32899999999995</v>
      </c>
      <c r="F168" s="38">
        <v>1274</v>
      </c>
      <c r="G168" s="38">
        <v>50</v>
      </c>
      <c r="H168" s="46">
        <v>600</v>
      </c>
      <c r="I168" s="38">
        <v>695</v>
      </c>
      <c r="J168" s="38">
        <v>0</v>
      </c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  <row r="169" spans="1:20" ht="15.75">
      <c r="A169" s="13">
        <v>46266</v>
      </c>
      <c r="B169" s="47">
        <v>30</v>
      </c>
      <c r="C169" s="38">
        <v>194.20500000000001</v>
      </c>
      <c r="D169" s="38">
        <v>267.46600000000001</v>
      </c>
      <c r="E169" s="44">
        <v>812.32899999999995</v>
      </c>
      <c r="F169" s="38">
        <v>1274</v>
      </c>
      <c r="G169" s="38">
        <v>50</v>
      </c>
      <c r="H169" s="46">
        <v>600</v>
      </c>
      <c r="I169" s="38">
        <v>695</v>
      </c>
      <c r="J169" s="38">
        <v>0</v>
      </c>
      <c r="K169" s="39"/>
      <c r="L169" s="39"/>
      <c r="M169" s="39"/>
      <c r="N169" s="39"/>
      <c r="O169" s="39"/>
      <c r="P169" s="39"/>
      <c r="Q169" s="39"/>
      <c r="R169" s="39"/>
      <c r="S169" s="39"/>
      <c r="T169" s="39"/>
    </row>
    <row r="170" spans="1:20" ht="15.75">
      <c r="A170" s="13">
        <v>46296</v>
      </c>
      <c r="B170" s="47">
        <v>31</v>
      </c>
      <c r="C170" s="38">
        <v>131.881</v>
      </c>
      <c r="D170" s="38">
        <v>277.16699999999997</v>
      </c>
      <c r="E170" s="44">
        <v>829.952</v>
      </c>
      <c r="F170" s="38">
        <v>1239</v>
      </c>
      <c r="G170" s="38">
        <v>75</v>
      </c>
      <c r="H170" s="46">
        <v>600</v>
      </c>
      <c r="I170" s="38">
        <v>695</v>
      </c>
      <c r="J170" s="38">
        <v>0</v>
      </c>
      <c r="K170" s="39"/>
      <c r="L170" s="39"/>
      <c r="M170" s="39"/>
      <c r="N170" s="39"/>
      <c r="O170" s="39"/>
      <c r="P170" s="39"/>
      <c r="Q170" s="39"/>
      <c r="R170" s="39"/>
      <c r="S170" s="39"/>
      <c r="T170" s="39"/>
    </row>
    <row r="171" spans="1:20" ht="15.75">
      <c r="A171" s="13">
        <v>46327</v>
      </c>
      <c r="B171" s="47">
        <v>30</v>
      </c>
      <c r="C171" s="38">
        <v>122.58</v>
      </c>
      <c r="D171" s="38">
        <v>297.94099999999997</v>
      </c>
      <c r="E171" s="44">
        <v>729.47900000000004</v>
      </c>
      <c r="F171" s="38">
        <v>1150</v>
      </c>
      <c r="G171" s="38">
        <v>100</v>
      </c>
      <c r="H171" s="46">
        <v>600</v>
      </c>
      <c r="I171" s="38">
        <v>695</v>
      </c>
      <c r="J171" s="38">
        <v>50</v>
      </c>
      <c r="K171" s="39"/>
      <c r="L171" s="39"/>
      <c r="M171" s="39"/>
      <c r="N171" s="39"/>
      <c r="O171" s="39"/>
      <c r="P171" s="39"/>
      <c r="Q171" s="39"/>
      <c r="R171" s="39"/>
      <c r="S171" s="39"/>
      <c r="T171" s="39"/>
    </row>
    <row r="172" spans="1:20" ht="15.75">
      <c r="A172" s="13">
        <v>46357</v>
      </c>
      <c r="B172" s="47">
        <v>31</v>
      </c>
      <c r="C172" s="38">
        <v>122.58</v>
      </c>
      <c r="D172" s="38">
        <v>297.94099999999997</v>
      </c>
      <c r="E172" s="44">
        <v>729.47900000000004</v>
      </c>
      <c r="F172" s="38">
        <v>1150</v>
      </c>
      <c r="G172" s="38">
        <v>100</v>
      </c>
      <c r="H172" s="46">
        <v>600</v>
      </c>
      <c r="I172" s="38">
        <v>695</v>
      </c>
      <c r="J172" s="38">
        <v>50</v>
      </c>
      <c r="K172" s="39"/>
      <c r="L172" s="39"/>
      <c r="M172" s="39"/>
      <c r="N172" s="39"/>
      <c r="O172" s="39"/>
      <c r="P172" s="39"/>
      <c r="Q172" s="39"/>
      <c r="R172" s="39"/>
      <c r="S172" s="39"/>
      <c r="T172" s="39"/>
    </row>
    <row r="173" spans="1:20" ht="15.75">
      <c r="A173" s="13">
        <v>46388</v>
      </c>
      <c r="B173" s="47">
        <v>31</v>
      </c>
      <c r="C173" s="38">
        <v>122.58</v>
      </c>
      <c r="D173" s="38">
        <v>297.94099999999997</v>
      </c>
      <c r="E173" s="44">
        <v>729.47900000000004</v>
      </c>
      <c r="F173" s="38">
        <v>1150</v>
      </c>
      <c r="G173" s="38">
        <v>100</v>
      </c>
      <c r="H173" s="46">
        <v>600</v>
      </c>
      <c r="I173" s="38">
        <v>695</v>
      </c>
      <c r="J173" s="38">
        <v>50</v>
      </c>
      <c r="K173" s="39"/>
      <c r="L173" s="39"/>
      <c r="M173" s="39"/>
      <c r="N173" s="39"/>
      <c r="O173" s="39"/>
      <c r="P173" s="39"/>
      <c r="Q173" s="39"/>
      <c r="R173" s="39"/>
      <c r="S173" s="39"/>
      <c r="T173" s="39"/>
    </row>
    <row r="174" spans="1:20" ht="15.75">
      <c r="A174" s="13">
        <v>46419</v>
      </c>
      <c r="B174" s="47">
        <v>28</v>
      </c>
      <c r="C174" s="38">
        <v>122.58</v>
      </c>
      <c r="D174" s="38">
        <v>297.94099999999997</v>
      </c>
      <c r="E174" s="44">
        <v>729.47900000000004</v>
      </c>
      <c r="F174" s="38">
        <v>1150</v>
      </c>
      <c r="G174" s="38">
        <v>100</v>
      </c>
      <c r="H174" s="46">
        <v>600</v>
      </c>
      <c r="I174" s="38">
        <v>695</v>
      </c>
      <c r="J174" s="38">
        <v>50</v>
      </c>
      <c r="K174" s="39"/>
      <c r="L174" s="39"/>
      <c r="M174" s="39"/>
      <c r="N174" s="39"/>
      <c r="O174" s="39"/>
      <c r="P174" s="39"/>
      <c r="Q174" s="39"/>
      <c r="R174" s="39"/>
      <c r="S174" s="39"/>
      <c r="T174" s="39"/>
    </row>
    <row r="175" spans="1:20" ht="15.75">
      <c r="A175" s="13">
        <v>46447</v>
      </c>
      <c r="B175" s="47">
        <v>31</v>
      </c>
      <c r="C175" s="38">
        <v>122.58</v>
      </c>
      <c r="D175" s="38">
        <v>297.94099999999997</v>
      </c>
      <c r="E175" s="44">
        <v>729.47900000000004</v>
      </c>
      <c r="F175" s="38">
        <v>1150</v>
      </c>
      <c r="G175" s="38">
        <v>100</v>
      </c>
      <c r="H175" s="46">
        <v>600</v>
      </c>
      <c r="I175" s="38">
        <v>695</v>
      </c>
      <c r="J175" s="38">
        <v>50</v>
      </c>
      <c r="K175" s="39"/>
      <c r="L175" s="39"/>
      <c r="M175" s="39"/>
      <c r="N175" s="39"/>
      <c r="O175" s="39"/>
      <c r="P175" s="39"/>
      <c r="Q175" s="39"/>
      <c r="R175" s="39"/>
      <c r="S175" s="39"/>
      <c r="T175" s="39"/>
    </row>
    <row r="176" spans="1:20" ht="15.75">
      <c r="A176" s="13">
        <v>46478</v>
      </c>
      <c r="B176" s="47">
        <v>30</v>
      </c>
      <c r="C176" s="38">
        <v>141.29300000000001</v>
      </c>
      <c r="D176" s="38">
        <v>267.99299999999999</v>
      </c>
      <c r="E176" s="44">
        <v>829.71400000000006</v>
      </c>
      <c r="F176" s="38">
        <v>1239</v>
      </c>
      <c r="G176" s="38">
        <v>100</v>
      </c>
      <c r="H176" s="46">
        <v>600</v>
      </c>
      <c r="I176" s="38">
        <v>695</v>
      </c>
      <c r="J176" s="38">
        <v>50</v>
      </c>
      <c r="K176" s="39"/>
      <c r="L176" s="39"/>
      <c r="M176" s="39"/>
      <c r="N176" s="39"/>
      <c r="O176" s="39"/>
      <c r="P176" s="39"/>
      <c r="Q176" s="39"/>
      <c r="R176" s="39"/>
      <c r="S176" s="39"/>
      <c r="T176" s="39"/>
    </row>
    <row r="177" spans="1:20" ht="15.75">
      <c r="A177" s="13">
        <v>46508</v>
      </c>
      <c r="B177" s="47">
        <v>31</v>
      </c>
      <c r="C177" s="38">
        <v>194.20500000000001</v>
      </c>
      <c r="D177" s="38">
        <v>267.46600000000001</v>
      </c>
      <c r="E177" s="44">
        <v>812.32899999999995</v>
      </c>
      <c r="F177" s="38">
        <v>1274</v>
      </c>
      <c r="G177" s="38">
        <v>75</v>
      </c>
      <c r="H177" s="46">
        <v>600</v>
      </c>
      <c r="I177" s="38">
        <v>695</v>
      </c>
      <c r="J177" s="38">
        <v>50</v>
      </c>
      <c r="K177" s="39"/>
      <c r="L177" s="39"/>
      <c r="M177" s="39"/>
      <c r="N177" s="39"/>
      <c r="O177" s="39"/>
      <c r="P177" s="39"/>
      <c r="Q177" s="39"/>
      <c r="R177" s="39"/>
      <c r="S177" s="39"/>
      <c r="T177" s="39"/>
    </row>
    <row r="178" spans="1:20" ht="15.75">
      <c r="A178" s="13">
        <v>46539</v>
      </c>
      <c r="B178" s="47">
        <v>30</v>
      </c>
      <c r="C178" s="38">
        <v>194.20500000000001</v>
      </c>
      <c r="D178" s="38">
        <v>267.46600000000001</v>
      </c>
      <c r="E178" s="44">
        <v>812.32899999999995</v>
      </c>
      <c r="F178" s="38">
        <v>1274</v>
      </c>
      <c r="G178" s="38">
        <v>50</v>
      </c>
      <c r="H178" s="46">
        <v>600</v>
      </c>
      <c r="I178" s="38">
        <v>695</v>
      </c>
      <c r="J178" s="38">
        <v>50</v>
      </c>
      <c r="K178" s="39"/>
      <c r="L178" s="39"/>
      <c r="M178" s="39"/>
      <c r="N178" s="39"/>
      <c r="O178" s="39"/>
      <c r="P178" s="39"/>
      <c r="Q178" s="39"/>
      <c r="R178" s="39"/>
      <c r="S178" s="39"/>
      <c r="T178" s="39"/>
    </row>
    <row r="179" spans="1:20" ht="15.75">
      <c r="A179" s="13">
        <v>46569</v>
      </c>
      <c r="B179" s="47">
        <v>31</v>
      </c>
      <c r="C179" s="38">
        <v>194.20500000000001</v>
      </c>
      <c r="D179" s="38">
        <v>267.46600000000001</v>
      </c>
      <c r="E179" s="44">
        <v>812.32899999999995</v>
      </c>
      <c r="F179" s="38">
        <v>1274</v>
      </c>
      <c r="G179" s="38">
        <v>50</v>
      </c>
      <c r="H179" s="46">
        <v>600</v>
      </c>
      <c r="I179" s="38">
        <v>695</v>
      </c>
      <c r="J179" s="38">
        <v>0</v>
      </c>
      <c r="K179" s="39"/>
      <c r="L179" s="39"/>
      <c r="M179" s="39"/>
      <c r="N179" s="39"/>
      <c r="O179" s="39"/>
      <c r="P179" s="39"/>
      <c r="Q179" s="39"/>
      <c r="R179" s="39"/>
      <c r="S179" s="39"/>
      <c r="T179" s="39"/>
    </row>
    <row r="180" spans="1:20" ht="15.75">
      <c r="A180" s="13">
        <v>46600</v>
      </c>
      <c r="B180" s="47">
        <v>31</v>
      </c>
      <c r="C180" s="38">
        <v>194.20500000000001</v>
      </c>
      <c r="D180" s="38">
        <v>267.46600000000001</v>
      </c>
      <c r="E180" s="44">
        <v>812.32899999999995</v>
      </c>
      <c r="F180" s="38">
        <v>1274</v>
      </c>
      <c r="G180" s="38">
        <v>50</v>
      </c>
      <c r="H180" s="46">
        <v>600</v>
      </c>
      <c r="I180" s="38">
        <v>695</v>
      </c>
      <c r="J180" s="38">
        <v>0</v>
      </c>
      <c r="K180" s="39"/>
      <c r="L180" s="39"/>
      <c r="M180" s="39"/>
      <c r="N180" s="39"/>
      <c r="O180" s="39"/>
      <c r="P180" s="39"/>
      <c r="Q180" s="39"/>
      <c r="R180" s="39"/>
      <c r="S180" s="39"/>
      <c r="T180" s="39"/>
    </row>
    <row r="181" spans="1:20" ht="15.75">
      <c r="A181" s="13">
        <v>46631</v>
      </c>
      <c r="B181" s="47">
        <v>30</v>
      </c>
      <c r="C181" s="38">
        <v>194.20500000000001</v>
      </c>
      <c r="D181" s="38">
        <v>267.46600000000001</v>
      </c>
      <c r="E181" s="44">
        <v>812.32899999999995</v>
      </c>
      <c r="F181" s="38">
        <v>1274</v>
      </c>
      <c r="G181" s="38">
        <v>50</v>
      </c>
      <c r="H181" s="46">
        <v>600</v>
      </c>
      <c r="I181" s="38">
        <v>695</v>
      </c>
      <c r="J181" s="38">
        <v>0</v>
      </c>
      <c r="K181" s="39"/>
      <c r="L181" s="39"/>
      <c r="M181" s="39"/>
      <c r="N181" s="39"/>
      <c r="O181" s="39"/>
      <c r="P181" s="39"/>
      <c r="Q181" s="39"/>
      <c r="R181" s="39"/>
      <c r="S181" s="39"/>
      <c r="T181" s="39"/>
    </row>
    <row r="182" spans="1:20" ht="15.75">
      <c r="A182" s="13">
        <v>46661</v>
      </c>
      <c r="B182" s="47">
        <v>31</v>
      </c>
      <c r="C182" s="38">
        <v>131.881</v>
      </c>
      <c r="D182" s="38">
        <v>277.16699999999997</v>
      </c>
      <c r="E182" s="44">
        <v>829.952</v>
      </c>
      <c r="F182" s="38">
        <v>1239</v>
      </c>
      <c r="G182" s="38">
        <v>75</v>
      </c>
      <c r="H182" s="46">
        <v>600</v>
      </c>
      <c r="I182" s="38">
        <v>695</v>
      </c>
      <c r="J182" s="38">
        <v>0</v>
      </c>
      <c r="K182" s="39"/>
      <c r="L182" s="39"/>
      <c r="M182" s="39"/>
      <c r="N182" s="39"/>
      <c r="O182" s="39"/>
      <c r="P182" s="39"/>
      <c r="Q182" s="39"/>
      <c r="R182" s="39"/>
      <c r="S182" s="39"/>
      <c r="T182" s="39"/>
    </row>
    <row r="183" spans="1:20" ht="15.75">
      <c r="A183" s="13">
        <v>46692</v>
      </c>
      <c r="B183" s="47">
        <v>30</v>
      </c>
      <c r="C183" s="38">
        <v>122.58</v>
      </c>
      <c r="D183" s="38">
        <v>297.94099999999997</v>
      </c>
      <c r="E183" s="44">
        <v>729.47900000000004</v>
      </c>
      <c r="F183" s="38">
        <v>1150</v>
      </c>
      <c r="G183" s="38">
        <v>100</v>
      </c>
      <c r="H183" s="46">
        <v>600</v>
      </c>
      <c r="I183" s="38">
        <v>695</v>
      </c>
      <c r="J183" s="38">
        <v>50</v>
      </c>
      <c r="K183" s="39"/>
      <c r="L183" s="39"/>
      <c r="M183" s="39"/>
      <c r="N183" s="39"/>
      <c r="O183" s="39"/>
      <c r="P183" s="39"/>
      <c r="Q183" s="39"/>
      <c r="R183" s="39"/>
      <c r="S183" s="39"/>
      <c r="T183" s="39"/>
    </row>
    <row r="184" spans="1:20" ht="15.75">
      <c r="A184" s="13">
        <v>46722</v>
      </c>
      <c r="B184" s="47">
        <v>31</v>
      </c>
      <c r="C184" s="38">
        <v>122.58</v>
      </c>
      <c r="D184" s="38">
        <v>297.94099999999997</v>
      </c>
      <c r="E184" s="44">
        <v>729.47900000000004</v>
      </c>
      <c r="F184" s="38">
        <v>1150</v>
      </c>
      <c r="G184" s="38">
        <v>100</v>
      </c>
      <c r="H184" s="46">
        <v>600</v>
      </c>
      <c r="I184" s="38">
        <v>695</v>
      </c>
      <c r="J184" s="38">
        <v>50</v>
      </c>
      <c r="K184" s="39"/>
      <c r="L184" s="39"/>
      <c r="M184" s="39"/>
      <c r="N184" s="39"/>
      <c r="O184" s="39"/>
      <c r="P184" s="39"/>
      <c r="Q184" s="39"/>
      <c r="R184" s="39"/>
      <c r="S184" s="39"/>
      <c r="T184" s="39"/>
    </row>
    <row r="185" spans="1:20" ht="15.75">
      <c r="A185" s="13">
        <v>46753</v>
      </c>
      <c r="B185" s="47">
        <v>31</v>
      </c>
      <c r="C185" s="38">
        <v>122.58</v>
      </c>
      <c r="D185" s="38">
        <v>297.94099999999997</v>
      </c>
      <c r="E185" s="44">
        <v>729.47900000000004</v>
      </c>
      <c r="F185" s="38">
        <v>1150</v>
      </c>
      <c r="G185" s="38">
        <v>100</v>
      </c>
      <c r="H185" s="46">
        <v>600</v>
      </c>
      <c r="I185" s="38">
        <v>695</v>
      </c>
      <c r="J185" s="38">
        <v>50</v>
      </c>
      <c r="K185" s="39"/>
      <c r="L185" s="39"/>
      <c r="M185" s="39"/>
      <c r="N185" s="39"/>
      <c r="O185" s="39"/>
      <c r="P185" s="39"/>
      <c r="Q185" s="39"/>
      <c r="R185" s="39"/>
      <c r="S185" s="39"/>
      <c r="T185" s="39"/>
    </row>
    <row r="186" spans="1:20" ht="15.75">
      <c r="A186" s="13">
        <v>46784</v>
      </c>
      <c r="B186" s="47">
        <v>29</v>
      </c>
      <c r="C186" s="38">
        <v>122.58</v>
      </c>
      <c r="D186" s="38">
        <v>297.94099999999997</v>
      </c>
      <c r="E186" s="44">
        <v>729.47900000000004</v>
      </c>
      <c r="F186" s="38">
        <v>1150</v>
      </c>
      <c r="G186" s="38">
        <v>100</v>
      </c>
      <c r="H186" s="46">
        <v>600</v>
      </c>
      <c r="I186" s="38">
        <v>695</v>
      </c>
      <c r="J186" s="38">
        <v>50</v>
      </c>
      <c r="K186" s="39"/>
      <c r="L186" s="39"/>
      <c r="M186" s="39"/>
      <c r="N186" s="39"/>
      <c r="O186" s="39"/>
      <c r="P186" s="39"/>
      <c r="Q186" s="39"/>
      <c r="R186" s="39"/>
      <c r="S186" s="39"/>
      <c r="T186" s="39"/>
    </row>
    <row r="187" spans="1:20" ht="15.75">
      <c r="A187" s="13">
        <v>46813</v>
      </c>
      <c r="B187" s="47">
        <v>31</v>
      </c>
      <c r="C187" s="38">
        <v>122.58</v>
      </c>
      <c r="D187" s="38">
        <v>297.94099999999997</v>
      </c>
      <c r="E187" s="44">
        <v>729.47900000000004</v>
      </c>
      <c r="F187" s="38">
        <v>1150</v>
      </c>
      <c r="G187" s="38">
        <v>100</v>
      </c>
      <c r="H187" s="46">
        <v>600</v>
      </c>
      <c r="I187" s="38">
        <v>695</v>
      </c>
      <c r="J187" s="38">
        <v>50</v>
      </c>
      <c r="K187" s="39"/>
      <c r="L187" s="39"/>
      <c r="M187" s="39"/>
      <c r="N187" s="39"/>
      <c r="O187" s="39"/>
      <c r="P187" s="39"/>
      <c r="Q187" s="39"/>
      <c r="R187" s="39"/>
      <c r="S187" s="39"/>
      <c r="T187" s="39"/>
    </row>
    <row r="188" spans="1:20" ht="15.75">
      <c r="A188" s="13">
        <v>46844</v>
      </c>
      <c r="B188" s="47">
        <v>30</v>
      </c>
      <c r="C188" s="38">
        <v>141.29300000000001</v>
      </c>
      <c r="D188" s="38">
        <v>267.99299999999999</v>
      </c>
      <c r="E188" s="44">
        <v>829.71400000000006</v>
      </c>
      <c r="F188" s="38">
        <v>1239</v>
      </c>
      <c r="G188" s="38">
        <v>100</v>
      </c>
      <c r="H188" s="46">
        <v>600</v>
      </c>
      <c r="I188" s="38">
        <v>695</v>
      </c>
      <c r="J188" s="38">
        <v>50</v>
      </c>
      <c r="K188" s="39"/>
      <c r="L188" s="39"/>
      <c r="M188" s="39"/>
      <c r="N188" s="39"/>
      <c r="O188" s="39"/>
      <c r="P188" s="39"/>
      <c r="Q188" s="39"/>
      <c r="R188" s="39"/>
      <c r="S188" s="39"/>
      <c r="T188" s="39"/>
    </row>
    <row r="189" spans="1:20" ht="15.75">
      <c r="A189" s="13">
        <v>46874</v>
      </c>
      <c r="B189" s="47">
        <v>31</v>
      </c>
      <c r="C189" s="38">
        <v>194.20500000000001</v>
      </c>
      <c r="D189" s="38">
        <v>267.46600000000001</v>
      </c>
      <c r="E189" s="44">
        <v>812.32899999999995</v>
      </c>
      <c r="F189" s="38">
        <v>1274</v>
      </c>
      <c r="G189" s="38">
        <v>75</v>
      </c>
      <c r="H189" s="46">
        <v>600</v>
      </c>
      <c r="I189" s="38">
        <v>695</v>
      </c>
      <c r="J189" s="38">
        <v>50</v>
      </c>
      <c r="K189" s="39"/>
      <c r="L189" s="39"/>
      <c r="M189" s="39"/>
      <c r="N189" s="39"/>
      <c r="O189" s="39"/>
      <c r="P189" s="39"/>
      <c r="Q189" s="39"/>
      <c r="R189" s="39"/>
      <c r="S189" s="39"/>
      <c r="T189" s="39"/>
    </row>
    <row r="190" spans="1:20" ht="15.75">
      <c r="A190" s="13">
        <v>46905</v>
      </c>
      <c r="B190" s="47">
        <v>30</v>
      </c>
      <c r="C190" s="38">
        <v>194.20500000000001</v>
      </c>
      <c r="D190" s="38">
        <v>267.46600000000001</v>
      </c>
      <c r="E190" s="44">
        <v>812.32899999999995</v>
      </c>
      <c r="F190" s="38">
        <v>1274</v>
      </c>
      <c r="G190" s="38">
        <v>50</v>
      </c>
      <c r="H190" s="46">
        <v>600</v>
      </c>
      <c r="I190" s="38">
        <v>695</v>
      </c>
      <c r="J190" s="38">
        <v>50</v>
      </c>
      <c r="K190" s="39"/>
      <c r="L190" s="39"/>
      <c r="M190" s="39"/>
      <c r="N190" s="39"/>
      <c r="O190" s="39"/>
      <c r="P190" s="39"/>
      <c r="Q190" s="39"/>
      <c r="R190" s="39"/>
      <c r="S190" s="39"/>
      <c r="T190" s="39"/>
    </row>
    <row r="191" spans="1:20" ht="15.75">
      <c r="A191" s="13">
        <v>46935</v>
      </c>
      <c r="B191" s="47">
        <v>31</v>
      </c>
      <c r="C191" s="38">
        <v>194.20500000000001</v>
      </c>
      <c r="D191" s="38">
        <v>267.46600000000001</v>
      </c>
      <c r="E191" s="44">
        <v>812.32899999999995</v>
      </c>
      <c r="F191" s="38">
        <v>1274</v>
      </c>
      <c r="G191" s="38">
        <v>50</v>
      </c>
      <c r="H191" s="46">
        <v>600</v>
      </c>
      <c r="I191" s="38">
        <v>695</v>
      </c>
      <c r="J191" s="38">
        <v>0</v>
      </c>
      <c r="K191" s="39"/>
      <c r="L191" s="39"/>
      <c r="M191" s="39"/>
      <c r="N191" s="39"/>
      <c r="O191" s="39"/>
      <c r="P191" s="39"/>
      <c r="Q191" s="39"/>
      <c r="R191" s="39"/>
      <c r="S191" s="39"/>
      <c r="T191" s="39"/>
    </row>
    <row r="192" spans="1:20" ht="15.75">
      <c r="A192" s="13">
        <v>46966</v>
      </c>
      <c r="B192" s="47">
        <v>31</v>
      </c>
      <c r="C192" s="38">
        <v>194.20500000000001</v>
      </c>
      <c r="D192" s="38">
        <v>267.46600000000001</v>
      </c>
      <c r="E192" s="44">
        <v>812.32899999999995</v>
      </c>
      <c r="F192" s="38">
        <v>1274</v>
      </c>
      <c r="G192" s="38">
        <v>50</v>
      </c>
      <c r="H192" s="46">
        <v>600</v>
      </c>
      <c r="I192" s="38">
        <v>695</v>
      </c>
      <c r="J192" s="38">
        <v>0</v>
      </c>
      <c r="K192" s="39"/>
      <c r="L192" s="39"/>
      <c r="M192" s="39"/>
      <c r="N192" s="39"/>
      <c r="O192" s="39"/>
      <c r="P192" s="39"/>
      <c r="Q192" s="39"/>
      <c r="R192" s="39"/>
      <c r="S192" s="39"/>
      <c r="T192" s="39"/>
    </row>
    <row r="193" spans="1:20" ht="15.75">
      <c r="A193" s="13">
        <v>46997</v>
      </c>
      <c r="B193" s="47">
        <v>30</v>
      </c>
      <c r="C193" s="38">
        <v>194.20500000000001</v>
      </c>
      <c r="D193" s="38">
        <v>267.46600000000001</v>
      </c>
      <c r="E193" s="44">
        <v>812.32899999999995</v>
      </c>
      <c r="F193" s="38">
        <v>1274</v>
      </c>
      <c r="G193" s="38">
        <v>50</v>
      </c>
      <c r="H193" s="46">
        <v>600</v>
      </c>
      <c r="I193" s="38">
        <v>695</v>
      </c>
      <c r="J193" s="38">
        <v>0</v>
      </c>
      <c r="K193" s="39"/>
      <c r="L193" s="39"/>
      <c r="M193" s="39"/>
      <c r="N193" s="39"/>
      <c r="O193" s="39"/>
      <c r="P193" s="39"/>
      <c r="Q193" s="39"/>
      <c r="R193" s="39"/>
      <c r="S193" s="39"/>
      <c r="T193" s="39"/>
    </row>
    <row r="194" spans="1:20" ht="15.75">
      <c r="A194" s="13">
        <v>47027</v>
      </c>
      <c r="B194" s="47">
        <v>31</v>
      </c>
      <c r="C194" s="38">
        <v>131.881</v>
      </c>
      <c r="D194" s="38">
        <v>277.16699999999997</v>
      </c>
      <c r="E194" s="44">
        <v>829.952</v>
      </c>
      <c r="F194" s="38">
        <v>1239</v>
      </c>
      <c r="G194" s="38">
        <v>75</v>
      </c>
      <c r="H194" s="46">
        <v>600</v>
      </c>
      <c r="I194" s="38">
        <v>695</v>
      </c>
      <c r="J194" s="38">
        <v>0</v>
      </c>
      <c r="K194" s="39"/>
      <c r="L194" s="39"/>
      <c r="M194" s="39"/>
      <c r="N194" s="39"/>
      <c r="O194" s="39"/>
      <c r="P194" s="39"/>
      <c r="Q194" s="39"/>
      <c r="R194" s="39"/>
      <c r="S194" s="39"/>
      <c r="T194" s="39"/>
    </row>
    <row r="195" spans="1:20" ht="15.75">
      <c r="A195" s="13">
        <v>47058</v>
      </c>
      <c r="B195" s="47">
        <v>30</v>
      </c>
      <c r="C195" s="38">
        <v>122.58</v>
      </c>
      <c r="D195" s="38">
        <v>297.94099999999997</v>
      </c>
      <c r="E195" s="44">
        <v>729.47900000000004</v>
      </c>
      <c r="F195" s="38">
        <v>1150</v>
      </c>
      <c r="G195" s="38">
        <v>100</v>
      </c>
      <c r="H195" s="46">
        <v>600</v>
      </c>
      <c r="I195" s="38">
        <v>695</v>
      </c>
      <c r="J195" s="38">
        <v>50</v>
      </c>
      <c r="K195" s="39"/>
      <c r="L195" s="39"/>
      <c r="M195" s="39"/>
      <c r="N195" s="39"/>
      <c r="O195" s="39"/>
      <c r="P195" s="39"/>
      <c r="Q195" s="39"/>
      <c r="R195" s="39"/>
      <c r="S195" s="39"/>
      <c r="T195" s="39"/>
    </row>
    <row r="196" spans="1:20" ht="15.75">
      <c r="A196" s="13">
        <v>47088</v>
      </c>
      <c r="B196" s="47">
        <v>31</v>
      </c>
      <c r="C196" s="38">
        <v>122.58</v>
      </c>
      <c r="D196" s="38">
        <v>297.94099999999997</v>
      </c>
      <c r="E196" s="44">
        <v>729.47900000000004</v>
      </c>
      <c r="F196" s="38">
        <v>1150</v>
      </c>
      <c r="G196" s="38">
        <v>100</v>
      </c>
      <c r="H196" s="46">
        <v>600</v>
      </c>
      <c r="I196" s="38">
        <v>695</v>
      </c>
      <c r="J196" s="38">
        <v>50</v>
      </c>
      <c r="K196" s="39"/>
      <c r="L196" s="39"/>
      <c r="M196" s="39"/>
      <c r="N196" s="39"/>
      <c r="O196" s="39"/>
      <c r="P196" s="39"/>
      <c r="Q196" s="39"/>
      <c r="R196" s="39"/>
      <c r="S196" s="39"/>
      <c r="T196" s="39"/>
    </row>
    <row r="197" spans="1:20" ht="15.75">
      <c r="A197" s="13">
        <v>47119</v>
      </c>
      <c r="B197" s="47">
        <v>31</v>
      </c>
      <c r="C197" s="38">
        <v>122.58</v>
      </c>
      <c r="D197" s="38">
        <v>297.94099999999997</v>
      </c>
      <c r="E197" s="44">
        <v>729.47900000000004</v>
      </c>
      <c r="F197" s="38">
        <v>1150</v>
      </c>
      <c r="G197" s="38">
        <v>100</v>
      </c>
      <c r="H197" s="46">
        <v>600</v>
      </c>
      <c r="I197" s="38">
        <v>695</v>
      </c>
      <c r="J197" s="38">
        <v>50</v>
      </c>
      <c r="K197" s="39"/>
      <c r="L197" s="39"/>
      <c r="M197" s="39"/>
      <c r="N197" s="39"/>
      <c r="O197" s="39"/>
      <c r="P197" s="39"/>
      <c r="Q197" s="39"/>
      <c r="R197" s="39"/>
      <c r="S197" s="39"/>
      <c r="T197" s="39"/>
    </row>
    <row r="198" spans="1:20" ht="15.75">
      <c r="A198" s="13">
        <v>47150</v>
      </c>
      <c r="B198" s="47">
        <v>28</v>
      </c>
      <c r="C198" s="38">
        <v>122.58</v>
      </c>
      <c r="D198" s="38">
        <v>297.94099999999997</v>
      </c>
      <c r="E198" s="44">
        <v>729.47900000000004</v>
      </c>
      <c r="F198" s="38">
        <v>1150</v>
      </c>
      <c r="G198" s="38">
        <v>100</v>
      </c>
      <c r="H198" s="46">
        <v>600</v>
      </c>
      <c r="I198" s="38">
        <v>695</v>
      </c>
      <c r="J198" s="38">
        <v>50</v>
      </c>
      <c r="K198" s="39"/>
      <c r="L198" s="39"/>
      <c r="M198" s="39"/>
      <c r="N198" s="39"/>
      <c r="O198" s="39"/>
      <c r="P198" s="39"/>
      <c r="Q198" s="39"/>
      <c r="R198" s="39"/>
      <c r="S198" s="39"/>
      <c r="T198" s="39"/>
    </row>
    <row r="199" spans="1:20" ht="15.75">
      <c r="A199" s="13">
        <v>47178</v>
      </c>
      <c r="B199" s="47">
        <v>31</v>
      </c>
      <c r="C199" s="38">
        <v>122.58</v>
      </c>
      <c r="D199" s="38">
        <v>297.94099999999997</v>
      </c>
      <c r="E199" s="44">
        <v>729.47900000000004</v>
      </c>
      <c r="F199" s="38">
        <v>1150</v>
      </c>
      <c r="G199" s="38">
        <v>100</v>
      </c>
      <c r="H199" s="46">
        <v>600</v>
      </c>
      <c r="I199" s="38">
        <v>695</v>
      </c>
      <c r="J199" s="38">
        <v>50</v>
      </c>
      <c r="K199" s="39"/>
      <c r="L199" s="39"/>
      <c r="M199" s="39"/>
      <c r="N199" s="39"/>
      <c r="O199" s="39"/>
      <c r="P199" s="39"/>
      <c r="Q199" s="39"/>
      <c r="R199" s="39"/>
      <c r="S199" s="39"/>
      <c r="T199" s="39"/>
    </row>
    <row r="200" spans="1:20" ht="15.75">
      <c r="A200" s="13">
        <v>47209</v>
      </c>
      <c r="B200" s="47">
        <v>30</v>
      </c>
      <c r="C200" s="38">
        <v>141.29300000000001</v>
      </c>
      <c r="D200" s="38">
        <v>267.99299999999999</v>
      </c>
      <c r="E200" s="44">
        <v>829.71400000000006</v>
      </c>
      <c r="F200" s="38">
        <v>1239</v>
      </c>
      <c r="G200" s="38">
        <v>100</v>
      </c>
      <c r="H200" s="46">
        <v>600</v>
      </c>
      <c r="I200" s="38">
        <v>695</v>
      </c>
      <c r="J200" s="38">
        <v>50</v>
      </c>
      <c r="K200" s="39"/>
      <c r="L200" s="39"/>
      <c r="M200" s="39"/>
      <c r="N200" s="39"/>
      <c r="O200" s="39"/>
      <c r="P200" s="39"/>
      <c r="Q200" s="39"/>
      <c r="R200" s="39"/>
      <c r="S200" s="39"/>
      <c r="T200" s="39"/>
    </row>
    <row r="201" spans="1:20" ht="15.75">
      <c r="A201" s="13">
        <v>47239</v>
      </c>
      <c r="B201" s="47">
        <v>31</v>
      </c>
      <c r="C201" s="38">
        <v>194.20500000000001</v>
      </c>
      <c r="D201" s="38">
        <v>267.46600000000001</v>
      </c>
      <c r="E201" s="44">
        <v>812.32899999999995</v>
      </c>
      <c r="F201" s="38">
        <v>1274</v>
      </c>
      <c r="G201" s="38">
        <v>75</v>
      </c>
      <c r="H201" s="46">
        <v>600</v>
      </c>
      <c r="I201" s="38">
        <v>695</v>
      </c>
      <c r="J201" s="38">
        <v>50</v>
      </c>
      <c r="K201" s="39"/>
      <c r="L201" s="39"/>
      <c r="M201" s="39"/>
      <c r="N201" s="39"/>
      <c r="O201" s="39"/>
      <c r="P201" s="39"/>
      <c r="Q201" s="39"/>
      <c r="R201" s="39"/>
      <c r="S201" s="39"/>
      <c r="T201" s="39"/>
    </row>
    <row r="202" spans="1:20" ht="15.75">
      <c r="A202" s="13">
        <v>47270</v>
      </c>
      <c r="B202" s="47">
        <v>30</v>
      </c>
      <c r="C202" s="38">
        <v>194.20500000000001</v>
      </c>
      <c r="D202" s="38">
        <v>267.46600000000001</v>
      </c>
      <c r="E202" s="44">
        <v>812.32899999999995</v>
      </c>
      <c r="F202" s="38">
        <v>1274</v>
      </c>
      <c r="G202" s="38">
        <v>50</v>
      </c>
      <c r="H202" s="46">
        <v>600</v>
      </c>
      <c r="I202" s="38">
        <v>695</v>
      </c>
      <c r="J202" s="38">
        <v>50</v>
      </c>
      <c r="K202" s="39"/>
      <c r="L202" s="39"/>
      <c r="M202" s="39"/>
      <c r="N202" s="39"/>
      <c r="O202" s="39"/>
      <c r="P202" s="39"/>
      <c r="Q202" s="39"/>
      <c r="R202" s="39"/>
      <c r="S202" s="39"/>
      <c r="T202" s="39"/>
    </row>
    <row r="203" spans="1:20" ht="15.75">
      <c r="A203" s="13">
        <v>47300</v>
      </c>
      <c r="B203" s="47">
        <v>31</v>
      </c>
      <c r="C203" s="38">
        <v>194.20500000000001</v>
      </c>
      <c r="D203" s="38">
        <v>267.46600000000001</v>
      </c>
      <c r="E203" s="44">
        <v>812.32899999999995</v>
      </c>
      <c r="F203" s="38">
        <v>1274</v>
      </c>
      <c r="G203" s="38">
        <v>50</v>
      </c>
      <c r="H203" s="46">
        <v>600</v>
      </c>
      <c r="I203" s="38">
        <v>695</v>
      </c>
      <c r="J203" s="38">
        <v>0</v>
      </c>
      <c r="K203" s="39"/>
      <c r="L203" s="39"/>
      <c r="M203" s="39"/>
      <c r="N203" s="39"/>
      <c r="O203" s="39"/>
      <c r="P203" s="39"/>
      <c r="Q203" s="39"/>
      <c r="R203" s="39"/>
      <c r="S203" s="39"/>
      <c r="T203" s="39"/>
    </row>
    <row r="204" spans="1:20" ht="15.75">
      <c r="A204" s="13">
        <v>47331</v>
      </c>
      <c r="B204" s="47">
        <v>31</v>
      </c>
      <c r="C204" s="38">
        <v>194.20500000000001</v>
      </c>
      <c r="D204" s="38">
        <v>267.46600000000001</v>
      </c>
      <c r="E204" s="44">
        <v>812.32899999999995</v>
      </c>
      <c r="F204" s="38">
        <v>1274</v>
      </c>
      <c r="G204" s="38">
        <v>50</v>
      </c>
      <c r="H204" s="46">
        <v>600</v>
      </c>
      <c r="I204" s="38">
        <v>695</v>
      </c>
      <c r="J204" s="38">
        <v>0</v>
      </c>
      <c r="K204" s="39"/>
      <c r="L204" s="39"/>
      <c r="M204" s="39"/>
      <c r="N204" s="39"/>
      <c r="O204" s="39"/>
      <c r="P204" s="39"/>
      <c r="Q204" s="39"/>
      <c r="R204" s="39"/>
      <c r="S204" s="39"/>
      <c r="T204" s="39"/>
    </row>
    <row r="205" spans="1:20" ht="15.75">
      <c r="A205" s="13">
        <v>47362</v>
      </c>
      <c r="B205" s="47">
        <v>30</v>
      </c>
      <c r="C205" s="38">
        <v>194.20500000000001</v>
      </c>
      <c r="D205" s="38">
        <v>267.46600000000001</v>
      </c>
      <c r="E205" s="44">
        <v>812.32899999999995</v>
      </c>
      <c r="F205" s="38">
        <v>1274</v>
      </c>
      <c r="G205" s="38">
        <v>50</v>
      </c>
      <c r="H205" s="46">
        <v>600</v>
      </c>
      <c r="I205" s="38">
        <v>695</v>
      </c>
      <c r="J205" s="38">
        <v>0</v>
      </c>
      <c r="K205" s="39"/>
      <c r="L205" s="39"/>
      <c r="M205" s="39"/>
      <c r="N205" s="39"/>
      <c r="O205" s="39"/>
      <c r="P205" s="39"/>
      <c r="Q205" s="39"/>
      <c r="R205" s="39"/>
      <c r="S205" s="39"/>
      <c r="T205" s="39"/>
    </row>
    <row r="206" spans="1:20" ht="15.75">
      <c r="A206" s="13">
        <v>47392</v>
      </c>
      <c r="B206" s="47">
        <v>31</v>
      </c>
      <c r="C206" s="38">
        <v>131.881</v>
      </c>
      <c r="D206" s="38">
        <v>277.16699999999997</v>
      </c>
      <c r="E206" s="44">
        <v>829.952</v>
      </c>
      <c r="F206" s="38">
        <v>1239</v>
      </c>
      <c r="G206" s="38">
        <v>75</v>
      </c>
      <c r="H206" s="46">
        <v>600</v>
      </c>
      <c r="I206" s="38">
        <v>695</v>
      </c>
      <c r="J206" s="38">
        <v>0</v>
      </c>
      <c r="K206" s="39"/>
      <c r="L206" s="39"/>
      <c r="M206" s="39"/>
      <c r="N206" s="39"/>
      <c r="O206" s="39"/>
      <c r="P206" s="39"/>
      <c r="Q206" s="39"/>
      <c r="R206" s="39"/>
      <c r="S206" s="39"/>
      <c r="T206" s="39"/>
    </row>
    <row r="207" spans="1:20" ht="15.75">
      <c r="A207" s="13">
        <v>47423</v>
      </c>
      <c r="B207" s="47">
        <v>30</v>
      </c>
      <c r="C207" s="38">
        <v>122.58</v>
      </c>
      <c r="D207" s="38">
        <v>297.94099999999997</v>
      </c>
      <c r="E207" s="44">
        <v>729.47900000000004</v>
      </c>
      <c r="F207" s="38">
        <v>1150</v>
      </c>
      <c r="G207" s="38">
        <v>100</v>
      </c>
      <c r="H207" s="46">
        <v>600</v>
      </c>
      <c r="I207" s="38">
        <v>695</v>
      </c>
      <c r="J207" s="38">
        <v>50</v>
      </c>
      <c r="K207" s="39"/>
      <c r="L207" s="39"/>
      <c r="M207" s="39"/>
      <c r="N207" s="39"/>
      <c r="O207" s="39"/>
      <c r="P207" s="39"/>
      <c r="Q207" s="39"/>
      <c r="R207" s="39"/>
      <c r="S207" s="39"/>
      <c r="T207" s="39"/>
    </row>
    <row r="208" spans="1:20" ht="15.75">
      <c r="A208" s="13">
        <v>47453</v>
      </c>
      <c r="B208" s="47">
        <v>31</v>
      </c>
      <c r="C208" s="38">
        <v>122.58</v>
      </c>
      <c r="D208" s="38">
        <v>297.94099999999997</v>
      </c>
      <c r="E208" s="44">
        <v>729.47900000000004</v>
      </c>
      <c r="F208" s="38">
        <v>1150</v>
      </c>
      <c r="G208" s="38">
        <v>100</v>
      </c>
      <c r="H208" s="46">
        <v>600</v>
      </c>
      <c r="I208" s="38">
        <v>695</v>
      </c>
      <c r="J208" s="38">
        <v>50</v>
      </c>
      <c r="K208" s="39"/>
      <c r="L208" s="39"/>
      <c r="M208" s="39"/>
      <c r="N208" s="39"/>
      <c r="O208" s="39"/>
      <c r="P208" s="39"/>
      <c r="Q208" s="39"/>
      <c r="R208" s="39"/>
      <c r="S208" s="39"/>
      <c r="T208" s="39"/>
    </row>
    <row r="209" spans="1:20" ht="15.75">
      <c r="A209" s="13">
        <v>47484</v>
      </c>
      <c r="B209" s="47">
        <v>31</v>
      </c>
      <c r="C209" s="38">
        <v>122.58</v>
      </c>
      <c r="D209" s="38">
        <v>297.94099999999997</v>
      </c>
      <c r="E209" s="44">
        <v>729.47900000000004</v>
      </c>
      <c r="F209" s="38">
        <v>1150</v>
      </c>
      <c r="G209" s="38">
        <v>100</v>
      </c>
      <c r="H209" s="46">
        <v>600</v>
      </c>
      <c r="I209" s="38">
        <v>695</v>
      </c>
      <c r="J209" s="38">
        <v>50</v>
      </c>
      <c r="K209" s="39"/>
      <c r="L209" s="39"/>
      <c r="M209" s="39"/>
      <c r="N209" s="39"/>
      <c r="O209" s="39"/>
      <c r="P209" s="39"/>
      <c r="Q209" s="39"/>
      <c r="R209" s="39"/>
      <c r="S209" s="39"/>
      <c r="T209" s="39"/>
    </row>
    <row r="210" spans="1:20" ht="15.75">
      <c r="A210" s="13">
        <v>47515</v>
      </c>
      <c r="B210" s="47">
        <v>28</v>
      </c>
      <c r="C210" s="38">
        <v>122.58</v>
      </c>
      <c r="D210" s="38">
        <v>297.94099999999997</v>
      </c>
      <c r="E210" s="44">
        <v>729.47900000000004</v>
      </c>
      <c r="F210" s="38">
        <v>1150</v>
      </c>
      <c r="G210" s="38">
        <v>100</v>
      </c>
      <c r="H210" s="46">
        <v>600</v>
      </c>
      <c r="I210" s="38">
        <v>695</v>
      </c>
      <c r="J210" s="38">
        <v>50</v>
      </c>
      <c r="K210" s="39"/>
      <c r="L210" s="39"/>
      <c r="M210" s="39"/>
      <c r="N210" s="39"/>
      <c r="O210" s="39"/>
      <c r="P210" s="39"/>
      <c r="Q210" s="39"/>
      <c r="R210" s="39"/>
      <c r="S210" s="39"/>
      <c r="T210" s="39"/>
    </row>
    <row r="211" spans="1:20" ht="15.75">
      <c r="A211" s="13">
        <v>47543</v>
      </c>
      <c r="B211" s="47">
        <v>31</v>
      </c>
      <c r="C211" s="38">
        <v>122.58</v>
      </c>
      <c r="D211" s="38">
        <v>297.94099999999997</v>
      </c>
      <c r="E211" s="44">
        <v>729.47900000000004</v>
      </c>
      <c r="F211" s="38">
        <v>1150</v>
      </c>
      <c r="G211" s="38">
        <v>100</v>
      </c>
      <c r="H211" s="46">
        <v>600</v>
      </c>
      <c r="I211" s="38">
        <v>695</v>
      </c>
      <c r="J211" s="38">
        <v>50</v>
      </c>
      <c r="K211" s="39"/>
      <c r="L211" s="39"/>
      <c r="M211" s="39"/>
      <c r="N211" s="39"/>
      <c r="O211" s="39"/>
      <c r="P211" s="39"/>
      <c r="Q211" s="39"/>
      <c r="R211" s="39"/>
      <c r="S211" s="39"/>
      <c r="T211" s="39"/>
    </row>
    <row r="212" spans="1:20" ht="15.75">
      <c r="A212" s="13">
        <v>47574</v>
      </c>
      <c r="B212" s="47">
        <v>30</v>
      </c>
      <c r="C212" s="38">
        <v>141.29300000000001</v>
      </c>
      <c r="D212" s="38">
        <v>267.99299999999999</v>
      </c>
      <c r="E212" s="44">
        <v>829.71400000000006</v>
      </c>
      <c r="F212" s="38">
        <v>1239</v>
      </c>
      <c r="G212" s="38">
        <v>100</v>
      </c>
      <c r="H212" s="46">
        <v>600</v>
      </c>
      <c r="I212" s="38">
        <v>695</v>
      </c>
      <c r="J212" s="38">
        <v>50</v>
      </c>
      <c r="K212" s="39"/>
      <c r="L212" s="39"/>
      <c r="M212" s="39"/>
      <c r="N212" s="39"/>
      <c r="O212" s="39"/>
      <c r="P212" s="39"/>
      <c r="Q212" s="39"/>
      <c r="R212" s="39"/>
      <c r="S212" s="39"/>
      <c r="T212" s="39"/>
    </row>
    <row r="213" spans="1:20" ht="15.75">
      <c r="A213" s="13">
        <v>47604</v>
      </c>
      <c r="B213" s="47">
        <v>31</v>
      </c>
      <c r="C213" s="38">
        <v>194.20500000000001</v>
      </c>
      <c r="D213" s="38">
        <v>267.46600000000001</v>
      </c>
      <c r="E213" s="44">
        <v>812.32899999999995</v>
      </c>
      <c r="F213" s="38">
        <v>1274</v>
      </c>
      <c r="G213" s="38">
        <v>75</v>
      </c>
      <c r="H213" s="46">
        <v>600</v>
      </c>
      <c r="I213" s="38">
        <v>695</v>
      </c>
      <c r="J213" s="38">
        <v>50</v>
      </c>
      <c r="K213" s="39"/>
      <c r="L213" s="39"/>
      <c r="M213" s="39"/>
      <c r="N213" s="39"/>
      <c r="O213" s="39"/>
      <c r="P213" s="39"/>
      <c r="Q213" s="39"/>
      <c r="R213" s="39"/>
      <c r="S213" s="39"/>
      <c r="T213" s="39"/>
    </row>
    <row r="214" spans="1:20" ht="15.75">
      <c r="A214" s="13">
        <v>47635</v>
      </c>
      <c r="B214" s="47">
        <v>30</v>
      </c>
      <c r="C214" s="38">
        <v>194.20500000000001</v>
      </c>
      <c r="D214" s="38">
        <v>267.46600000000001</v>
      </c>
      <c r="E214" s="44">
        <v>812.32899999999995</v>
      </c>
      <c r="F214" s="38">
        <v>1274</v>
      </c>
      <c r="G214" s="38">
        <v>50</v>
      </c>
      <c r="H214" s="46">
        <v>600</v>
      </c>
      <c r="I214" s="38">
        <v>695</v>
      </c>
      <c r="J214" s="38">
        <v>50</v>
      </c>
      <c r="K214" s="39"/>
      <c r="L214" s="39"/>
      <c r="M214" s="39"/>
      <c r="N214" s="39"/>
      <c r="O214" s="39"/>
      <c r="P214" s="39"/>
      <c r="Q214" s="39"/>
      <c r="R214" s="39"/>
      <c r="S214" s="39"/>
      <c r="T214" s="39"/>
    </row>
    <row r="215" spans="1:20" ht="15.75">
      <c r="A215" s="13">
        <v>47665</v>
      </c>
      <c r="B215" s="47">
        <v>31</v>
      </c>
      <c r="C215" s="38">
        <v>194.20500000000001</v>
      </c>
      <c r="D215" s="38">
        <v>267.46600000000001</v>
      </c>
      <c r="E215" s="44">
        <v>812.32899999999995</v>
      </c>
      <c r="F215" s="38">
        <v>1274</v>
      </c>
      <c r="G215" s="38">
        <v>50</v>
      </c>
      <c r="H215" s="46">
        <v>600</v>
      </c>
      <c r="I215" s="38">
        <v>695</v>
      </c>
      <c r="J215" s="38">
        <v>0</v>
      </c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ht="15.75">
      <c r="A216" s="13">
        <v>47696</v>
      </c>
      <c r="B216" s="47">
        <v>31</v>
      </c>
      <c r="C216" s="38">
        <v>194.20500000000001</v>
      </c>
      <c r="D216" s="38">
        <v>267.46600000000001</v>
      </c>
      <c r="E216" s="44">
        <v>812.32899999999995</v>
      </c>
      <c r="F216" s="38">
        <v>1274</v>
      </c>
      <c r="G216" s="38">
        <v>50</v>
      </c>
      <c r="H216" s="46">
        <v>600</v>
      </c>
      <c r="I216" s="38">
        <v>695</v>
      </c>
      <c r="J216" s="38">
        <v>0</v>
      </c>
      <c r="K216" s="39"/>
      <c r="L216" s="39"/>
      <c r="M216" s="39"/>
      <c r="N216" s="39"/>
      <c r="O216" s="39"/>
      <c r="P216" s="39"/>
      <c r="Q216" s="39"/>
      <c r="R216" s="39"/>
      <c r="S216" s="39"/>
      <c r="T216" s="39"/>
    </row>
    <row r="217" spans="1:20" ht="15.75">
      <c r="A217" s="13">
        <v>47727</v>
      </c>
      <c r="B217" s="47">
        <v>30</v>
      </c>
      <c r="C217" s="38">
        <v>194.20500000000001</v>
      </c>
      <c r="D217" s="38">
        <v>267.46600000000001</v>
      </c>
      <c r="E217" s="44">
        <v>812.32899999999995</v>
      </c>
      <c r="F217" s="38">
        <v>1274</v>
      </c>
      <c r="G217" s="38">
        <v>50</v>
      </c>
      <c r="H217" s="46">
        <v>600</v>
      </c>
      <c r="I217" s="38">
        <v>695</v>
      </c>
      <c r="J217" s="38">
        <v>0</v>
      </c>
      <c r="K217" s="39"/>
      <c r="L217" s="39"/>
      <c r="M217" s="39"/>
      <c r="N217" s="39"/>
      <c r="O217" s="39"/>
      <c r="P217" s="39"/>
      <c r="Q217" s="39"/>
      <c r="R217" s="39"/>
      <c r="S217" s="39"/>
      <c r="T217" s="39"/>
    </row>
    <row r="218" spans="1:20" ht="15.75">
      <c r="A218" s="13">
        <v>47757</v>
      </c>
      <c r="B218" s="47">
        <v>31</v>
      </c>
      <c r="C218" s="38">
        <v>131.881</v>
      </c>
      <c r="D218" s="38">
        <v>277.16699999999997</v>
      </c>
      <c r="E218" s="44">
        <v>829.952</v>
      </c>
      <c r="F218" s="38">
        <v>1239</v>
      </c>
      <c r="G218" s="38">
        <v>75</v>
      </c>
      <c r="H218" s="46">
        <v>600</v>
      </c>
      <c r="I218" s="38">
        <v>695</v>
      </c>
      <c r="J218" s="38">
        <v>0</v>
      </c>
      <c r="K218" s="39"/>
      <c r="L218" s="39"/>
      <c r="M218" s="39"/>
      <c r="N218" s="39"/>
      <c r="O218" s="39"/>
      <c r="P218" s="39"/>
      <c r="Q218" s="39"/>
      <c r="R218" s="39"/>
      <c r="S218" s="39"/>
      <c r="T218" s="39"/>
    </row>
    <row r="219" spans="1:20" ht="15.75">
      <c r="A219" s="13">
        <v>47788</v>
      </c>
      <c r="B219" s="47">
        <v>30</v>
      </c>
      <c r="C219" s="38">
        <v>122.58</v>
      </c>
      <c r="D219" s="38">
        <v>297.94099999999997</v>
      </c>
      <c r="E219" s="44">
        <v>729.47900000000004</v>
      </c>
      <c r="F219" s="38">
        <v>1150</v>
      </c>
      <c r="G219" s="38">
        <v>100</v>
      </c>
      <c r="H219" s="46">
        <v>600</v>
      </c>
      <c r="I219" s="38">
        <v>695</v>
      </c>
      <c r="J219" s="38">
        <v>50</v>
      </c>
      <c r="K219" s="39"/>
      <c r="L219" s="39"/>
      <c r="M219" s="39"/>
      <c r="N219" s="39"/>
      <c r="O219" s="39"/>
      <c r="P219" s="39"/>
      <c r="Q219" s="39"/>
      <c r="R219" s="39"/>
      <c r="S219" s="39"/>
      <c r="T219" s="39"/>
    </row>
    <row r="220" spans="1:20" ht="15.75">
      <c r="A220" s="13">
        <v>47818</v>
      </c>
      <c r="B220" s="47">
        <v>31</v>
      </c>
      <c r="C220" s="38">
        <v>122.58</v>
      </c>
      <c r="D220" s="38">
        <v>297.94099999999997</v>
      </c>
      <c r="E220" s="44">
        <v>729.47900000000004</v>
      </c>
      <c r="F220" s="38">
        <v>1150</v>
      </c>
      <c r="G220" s="38">
        <v>100</v>
      </c>
      <c r="H220" s="46">
        <v>600</v>
      </c>
      <c r="I220" s="38">
        <v>695</v>
      </c>
      <c r="J220" s="38">
        <v>50</v>
      </c>
      <c r="K220" s="39"/>
      <c r="L220" s="39"/>
      <c r="M220" s="39"/>
      <c r="N220" s="39"/>
      <c r="O220" s="39"/>
      <c r="P220" s="39"/>
      <c r="Q220" s="39"/>
      <c r="R220" s="39"/>
      <c r="S220" s="39"/>
      <c r="T220" s="39"/>
    </row>
    <row r="221" spans="1:20" ht="15.75">
      <c r="A221" s="13">
        <v>47849</v>
      </c>
      <c r="B221" s="47">
        <v>31</v>
      </c>
      <c r="C221" s="38">
        <v>122.58</v>
      </c>
      <c r="D221" s="38">
        <v>297.94099999999997</v>
      </c>
      <c r="E221" s="44">
        <v>729.47900000000004</v>
      </c>
      <c r="F221" s="38">
        <v>1150</v>
      </c>
      <c r="G221" s="38">
        <v>100</v>
      </c>
      <c r="H221" s="46">
        <v>600</v>
      </c>
      <c r="I221" s="38">
        <v>695</v>
      </c>
      <c r="J221" s="38">
        <v>50</v>
      </c>
      <c r="K221" s="39"/>
      <c r="L221" s="39"/>
      <c r="M221" s="39"/>
      <c r="N221" s="39"/>
      <c r="O221" s="39"/>
      <c r="P221" s="39"/>
      <c r="Q221" s="39"/>
      <c r="R221" s="39"/>
      <c r="S221" s="39"/>
      <c r="T221" s="39"/>
    </row>
    <row r="222" spans="1:20" ht="15.75">
      <c r="A222" s="13">
        <v>47880</v>
      </c>
      <c r="B222" s="47">
        <v>28</v>
      </c>
      <c r="C222" s="38">
        <v>122.58</v>
      </c>
      <c r="D222" s="38">
        <v>297.94099999999997</v>
      </c>
      <c r="E222" s="44">
        <v>729.47900000000004</v>
      </c>
      <c r="F222" s="38">
        <v>1150</v>
      </c>
      <c r="G222" s="38">
        <v>100</v>
      </c>
      <c r="H222" s="46">
        <v>600</v>
      </c>
      <c r="I222" s="38">
        <v>695</v>
      </c>
      <c r="J222" s="38">
        <v>50</v>
      </c>
      <c r="K222" s="39"/>
      <c r="L222" s="39"/>
      <c r="M222" s="39"/>
      <c r="N222" s="39"/>
      <c r="O222" s="39"/>
      <c r="P222" s="39"/>
      <c r="Q222" s="39"/>
      <c r="R222" s="39"/>
      <c r="S222" s="39"/>
      <c r="T222" s="39"/>
    </row>
    <row r="223" spans="1:20" ht="15.75">
      <c r="A223" s="13">
        <v>47908</v>
      </c>
      <c r="B223" s="47">
        <v>31</v>
      </c>
      <c r="C223" s="38">
        <v>122.58</v>
      </c>
      <c r="D223" s="38">
        <v>297.94099999999997</v>
      </c>
      <c r="E223" s="44">
        <v>729.47900000000004</v>
      </c>
      <c r="F223" s="38">
        <v>1150</v>
      </c>
      <c r="G223" s="38">
        <v>100</v>
      </c>
      <c r="H223" s="46">
        <v>600</v>
      </c>
      <c r="I223" s="38">
        <v>695</v>
      </c>
      <c r="J223" s="38">
        <v>50</v>
      </c>
      <c r="K223" s="39"/>
      <c r="L223" s="39"/>
      <c r="M223" s="39"/>
      <c r="N223" s="39"/>
      <c r="O223" s="39"/>
      <c r="P223" s="39"/>
      <c r="Q223" s="39"/>
      <c r="R223" s="39"/>
      <c r="S223" s="39"/>
      <c r="T223" s="39"/>
    </row>
    <row r="224" spans="1:20" ht="15.75">
      <c r="A224" s="13">
        <v>47939</v>
      </c>
      <c r="B224" s="47">
        <v>30</v>
      </c>
      <c r="C224" s="38">
        <v>141.29300000000001</v>
      </c>
      <c r="D224" s="38">
        <v>267.99299999999999</v>
      </c>
      <c r="E224" s="44">
        <v>829.71400000000006</v>
      </c>
      <c r="F224" s="38">
        <v>1239</v>
      </c>
      <c r="G224" s="38">
        <v>100</v>
      </c>
      <c r="H224" s="46">
        <v>600</v>
      </c>
      <c r="I224" s="38">
        <v>695</v>
      </c>
      <c r="J224" s="38">
        <v>50</v>
      </c>
      <c r="K224" s="39"/>
      <c r="L224" s="39"/>
      <c r="M224" s="39"/>
      <c r="N224" s="39"/>
      <c r="O224" s="39"/>
      <c r="P224" s="39"/>
      <c r="Q224" s="39"/>
      <c r="R224" s="39"/>
      <c r="S224" s="39"/>
      <c r="T224" s="39"/>
    </row>
    <row r="225" spans="1:20" ht="15.75">
      <c r="A225" s="13">
        <v>47969</v>
      </c>
      <c r="B225" s="47">
        <v>31</v>
      </c>
      <c r="C225" s="38">
        <v>194.20500000000001</v>
      </c>
      <c r="D225" s="38">
        <v>267.46600000000001</v>
      </c>
      <c r="E225" s="44">
        <v>812.32899999999995</v>
      </c>
      <c r="F225" s="38">
        <v>1274</v>
      </c>
      <c r="G225" s="38">
        <v>75</v>
      </c>
      <c r="H225" s="46">
        <v>600</v>
      </c>
      <c r="I225" s="38">
        <v>695</v>
      </c>
      <c r="J225" s="38">
        <v>50</v>
      </c>
      <c r="K225" s="39"/>
      <c r="L225" s="39"/>
      <c r="M225" s="39"/>
      <c r="N225" s="39"/>
      <c r="O225" s="39"/>
      <c r="P225" s="39"/>
      <c r="Q225" s="39"/>
      <c r="R225" s="39"/>
      <c r="S225" s="39"/>
      <c r="T225" s="39"/>
    </row>
    <row r="226" spans="1:20" ht="15.75">
      <c r="A226" s="13">
        <v>48000</v>
      </c>
      <c r="B226" s="47">
        <v>30</v>
      </c>
      <c r="C226" s="38">
        <v>194.20500000000001</v>
      </c>
      <c r="D226" s="38">
        <v>267.46600000000001</v>
      </c>
      <c r="E226" s="44">
        <v>812.32899999999995</v>
      </c>
      <c r="F226" s="38">
        <v>1274</v>
      </c>
      <c r="G226" s="38">
        <v>50</v>
      </c>
      <c r="H226" s="46">
        <v>600</v>
      </c>
      <c r="I226" s="38">
        <v>695</v>
      </c>
      <c r="J226" s="38">
        <v>50</v>
      </c>
      <c r="K226" s="39"/>
      <c r="L226" s="39"/>
      <c r="M226" s="39"/>
      <c r="N226" s="39"/>
      <c r="O226" s="39"/>
      <c r="P226" s="39"/>
      <c r="Q226" s="39"/>
      <c r="R226" s="39"/>
      <c r="S226" s="39"/>
      <c r="T226" s="39"/>
    </row>
    <row r="227" spans="1:20" ht="15.75">
      <c r="A227" s="13">
        <v>48030</v>
      </c>
      <c r="B227" s="47">
        <v>31</v>
      </c>
      <c r="C227" s="38">
        <v>194.20500000000001</v>
      </c>
      <c r="D227" s="38">
        <v>267.46600000000001</v>
      </c>
      <c r="E227" s="44">
        <v>812.32899999999995</v>
      </c>
      <c r="F227" s="38">
        <v>1274</v>
      </c>
      <c r="G227" s="38">
        <v>50</v>
      </c>
      <c r="H227" s="46">
        <v>600</v>
      </c>
      <c r="I227" s="38">
        <v>695</v>
      </c>
      <c r="J227" s="38">
        <v>0</v>
      </c>
      <c r="K227" s="39"/>
      <c r="L227" s="39"/>
      <c r="M227" s="39"/>
      <c r="N227" s="39"/>
      <c r="O227" s="39"/>
      <c r="P227" s="39"/>
      <c r="Q227" s="39"/>
      <c r="R227" s="39"/>
      <c r="S227" s="39"/>
      <c r="T227" s="39"/>
    </row>
    <row r="228" spans="1:20" ht="15.75">
      <c r="A228" s="13">
        <v>48061</v>
      </c>
      <c r="B228" s="47">
        <v>31</v>
      </c>
      <c r="C228" s="38">
        <v>194.20500000000001</v>
      </c>
      <c r="D228" s="38">
        <v>267.46600000000001</v>
      </c>
      <c r="E228" s="44">
        <v>812.32899999999995</v>
      </c>
      <c r="F228" s="38">
        <v>1274</v>
      </c>
      <c r="G228" s="38">
        <v>50</v>
      </c>
      <c r="H228" s="46">
        <v>600</v>
      </c>
      <c r="I228" s="38">
        <v>695</v>
      </c>
      <c r="J228" s="38">
        <v>0</v>
      </c>
      <c r="K228" s="39"/>
      <c r="L228" s="39"/>
      <c r="M228" s="39"/>
      <c r="N228" s="39"/>
      <c r="O228" s="39"/>
      <c r="P228" s="39"/>
      <c r="Q228" s="39"/>
      <c r="R228" s="39"/>
      <c r="S228" s="39"/>
      <c r="T228" s="39"/>
    </row>
    <row r="229" spans="1:20" ht="15.75">
      <c r="A229" s="13">
        <v>48092</v>
      </c>
      <c r="B229" s="47">
        <v>30</v>
      </c>
      <c r="C229" s="38">
        <v>194.20500000000001</v>
      </c>
      <c r="D229" s="38">
        <v>267.46600000000001</v>
      </c>
      <c r="E229" s="44">
        <v>812.32899999999995</v>
      </c>
      <c r="F229" s="38">
        <v>1274</v>
      </c>
      <c r="G229" s="38">
        <v>50</v>
      </c>
      <c r="H229" s="46">
        <v>600</v>
      </c>
      <c r="I229" s="38">
        <v>695</v>
      </c>
      <c r="J229" s="38">
        <v>0</v>
      </c>
      <c r="K229" s="39"/>
      <c r="L229" s="39"/>
      <c r="M229" s="39"/>
      <c r="N229" s="39"/>
      <c r="O229" s="39"/>
      <c r="P229" s="39"/>
      <c r="Q229" s="39"/>
      <c r="R229" s="39"/>
      <c r="S229" s="39"/>
      <c r="T229" s="39"/>
    </row>
    <row r="230" spans="1:20" ht="15.75">
      <c r="A230" s="13">
        <v>48122</v>
      </c>
      <c r="B230" s="47">
        <v>31</v>
      </c>
      <c r="C230" s="38">
        <v>131.881</v>
      </c>
      <c r="D230" s="38">
        <v>277.16699999999997</v>
      </c>
      <c r="E230" s="44">
        <v>829.952</v>
      </c>
      <c r="F230" s="38">
        <v>1239</v>
      </c>
      <c r="G230" s="38">
        <v>75</v>
      </c>
      <c r="H230" s="46">
        <v>600</v>
      </c>
      <c r="I230" s="38">
        <v>695</v>
      </c>
      <c r="J230" s="38">
        <v>0</v>
      </c>
      <c r="K230" s="39"/>
      <c r="L230" s="39"/>
      <c r="M230" s="39"/>
      <c r="N230" s="39"/>
      <c r="O230" s="39"/>
      <c r="P230" s="39"/>
      <c r="Q230" s="39"/>
      <c r="R230" s="39"/>
      <c r="S230" s="39"/>
      <c r="T230" s="39"/>
    </row>
    <row r="231" spans="1:20" ht="15.75">
      <c r="A231" s="13">
        <v>48153</v>
      </c>
      <c r="B231" s="47">
        <v>30</v>
      </c>
      <c r="C231" s="38">
        <v>122.58</v>
      </c>
      <c r="D231" s="38">
        <v>297.94099999999997</v>
      </c>
      <c r="E231" s="44">
        <v>729.47900000000004</v>
      </c>
      <c r="F231" s="38">
        <v>1150</v>
      </c>
      <c r="G231" s="38">
        <v>100</v>
      </c>
      <c r="H231" s="46">
        <v>600</v>
      </c>
      <c r="I231" s="38">
        <v>695</v>
      </c>
      <c r="J231" s="38">
        <v>50</v>
      </c>
      <c r="K231" s="39"/>
      <c r="L231" s="39"/>
      <c r="M231" s="39"/>
      <c r="N231" s="39"/>
      <c r="O231" s="39"/>
      <c r="P231" s="39"/>
      <c r="Q231" s="39"/>
      <c r="R231" s="39"/>
      <c r="S231" s="39"/>
      <c r="T231" s="39"/>
    </row>
    <row r="232" spans="1:20" ht="15.75">
      <c r="A232" s="13">
        <v>48183</v>
      </c>
      <c r="B232" s="47">
        <v>31</v>
      </c>
      <c r="C232" s="38">
        <v>122.58</v>
      </c>
      <c r="D232" s="38">
        <v>297.94099999999997</v>
      </c>
      <c r="E232" s="44">
        <v>729.47900000000004</v>
      </c>
      <c r="F232" s="38">
        <v>1150</v>
      </c>
      <c r="G232" s="38">
        <v>100</v>
      </c>
      <c r="H232" s="46">
        <v>600</v>
      </c>
      <c r="I232" s="38">
        <v>695</v>
      </c>
      <c r="J232" s="38">
        <v>50</v>
      </c>
      <c r="K232" s="39"/>
      <c r="L232" s="39"/>
      <c r="M232" s="39"/>
      <c r="N232" s="39"/>
      <c r="O232" s="39"/>
      <c r="P232" s="39"/>
      <c r="Q232" s="39"/>
      <c r="R232" s="39"/>
      <c r="S232" s="39"/>
      <c r="T232" s="39"/>
    </row>
    <row r="233" spans="1:20" ht="15.75">
      <c r="A233" s="13">
        <v>48214</v>
      </c>
      <c r="B233" s="47">
        <v>31</v>
      </c>
      <c r="C233" s="38">
        <v>122.58</v>
      </c>
      <c r="D233" s="38">
        <v>297.94099999999997</v>
      </c>
      <c r="E233" s="44">
        <v>729.47900000000004</v>
      </c>
      <c r="F233" s="38">
        <v>1150</v>
      </c>
      <c r="G233" s="38">
        <v>100</v>
      </c>
      <c r="H233" s="46">
        <v>600</v>
      </c>
      <c r="I233" s="38">
        <v>695</v>
      </c>
      <c r="J233" s="38">
        <v>50</v>
      </c>
      <c r="K233" s="39"/>
      <c r="L233" s="39"/>
      <c r="M233" s="39"/>
      <c r="N233" s="39"/>
      <c r="O233" s="39"/>
      <c r="P233" s="39"/>
      <c r="Q233" s="39"/>
      <c r="R233" s="39"/>
      <c r="S233" s="39"/>
      <c r="T233" s="39"/>
    </row>
    <row r="234" spans="1:20" ht="15.75">
      <c r="A234" s="13">
        <v>48245</v>
      </c>
      <c r="B234" s="47">
        <v>29</v>
      </c>
      <c r="C234" s="38">
        <v>122.58</v>
      </c>
      <c r="D234" s="38">
        <v>297.94099999999997</v>
      </c>
      <c r="E234" s="44">
        <v>729.47900000000004</v>
      </c>
      <c r="F234" s="38">
        <v>1150</v>
      </c>
      <c r="G234" s="38">
        <v>100</v>
      </c>
      <c r="H234" s="46">
        <v>600</v>
      </c>
      <c r="I234" s="38">
        <v>695</v>
      </c>
      <c r="J234" s="38">
        <v>50</v>
      </c>
      <c r="K234" s="39"/>
      <c r="L234" s="39"/>
      <c r="M234" s="39"/>
      <c r="N234" s="39"/>
      <c r="O234" s="39"/>
      <c r="P234" s="39"/>
      <c r="Q234" s="39"/>
      <c r="R234" s="39"/>
      <c r="S234" s="39"/>
      <c r="T234" s="39"/>
    </row>
    <row r="235" spans="1:20" ht="15.75">
      <c r="A235" s="13">
        <v>48274</v>
      </c>
      <c r="B235" s="47">
        <v>31</v>
      </c>
      <c r="C235" s="38">
        <v>122.58</v>
      </c>
      <c r="D235" s="38">
        <v>297.94099999999997</v>
      </c>
      <c r="E235" s="44">
        <v>729.47900000000004</v>
      </c>
      <c r="F235" s="38">
        <v>1150</v>
      </c>
      <c r="G235" s="38">
        <v>100</v>
      </c>
      <c r="H235" s="46">
        <v>600</v>
      </c>
      <c r="I235" s="38">
        <v>695</v>
      </c>
      <c r="J235" s="38">
        <v>50</v>
      </c>
      <c r="K235" s="39"/>
      <c r="L235" s="39"/>
      <c r="M235" s="39"/>
      <c r="N235" s="39"/>
      <c r="O235" s="39"/>
      <c r="P235" s="39"/>
      <c r="Q235" s="39"/>
      <c r="R235" s="39"/>
      <c r="S235" s="39"/>
      <c r="T235" s="39"/>
    </row>
    <row r="236" spans="1:20" ht="15.75">
      <c r="A236" s="13">
        <v>48305</v>
      </c>
      <c r="B236" s="47">
        <v>30</v>
      </c>
      <c r="C236" s="38">
        <v>141.29300000000001</v>
      </c>
      <c r="D236" s="38">
        <v>267.99299999999999</v>
      </c>
      <c r="E236" s="44">
        <v>829.71400000000006</v>
      </c>
      <c r="F236" s="38">
        <v>1239</v>
      </c>
      <c r="G236" s="38">
        <v>100</v>
      </c>
      <c r="H236" s="46">
        <v>600</v>
      </c>
      <c r="I236" s="38">
        <v>695</v>
      </c>
      <c r="J236" s="38">
        <v>50</v>
      </c>
      <c r="K236" s="39"/>
      <c r="L236" s="39"/>
      <c r="M236" s="39"/>
      <c r="N236" s="39"/>
      <c r="O236" s="39"/>
      <c r="P236" s="39"/>
      <c r="Q236" s="39"/>
      <c r="R236" s="39"/>
      <c r="S236" s="39"/>
      <c r="T236" s="39"/>
    </row>
    <row r="237" spans="1:20" ht="15.75">
      <c r="A237" s="13">
        <v>48335</v>
      </c>
      <c r="B237" s="47">
        <v>31</v>
      </c>
      <c r="C237" s="38">
        <v>194.20500000000001</v>
      </c>
      <c r="D237" s="38">
        <v>267.46600000000001</v>
      </c>
      <c r="E237" s="44">
        <v>812.32899999999995</v>
      </c>
      <c r="F237" s="38">
        <v>1274</v>
      </c>
      <c r="G237" s="38">
        <v>75</v>
      </c>
      <c r="H237" s="46">
        <v>600</v>
      </c>
      <c r="I237" s="38">
        <v>695</v>
      </c>
      <c r="J237" s="38">
        <v>50</v>
      </c>
      <c r="K237" s="39"/>
      <c r="L237" s="39"/>
      <c r="M237" s="39"/>
      <c r="N237" s="39"/>
      <c r="O237" s="39"/>
      <c r="P237" s="39"/>
      <c r="Q237" s="39"/>
      <c r="R237" s="39"/>
      <c r="S237" s="39"/>
      <c r="T237" s="39"/>
    </row>
    <row r="238" spans="1:20" ht="15.75">
      <c r="A238" s="13">
        <v>48366</v>
      </c>
      <c r="B238" s="47">
        <v>30</v>
      </c>
      <c r="C238" s="38">
        <v>194.20500000000001</v>
      </c>
      <c r="D238" s="38">
        <v>267.46600000000001</v>
      </c>
      <c r="E238" s="44">
        <v>812.32899999999995</v>
      </c>
      <c r="F238" s="38">
        <v>1274</v>
      </c>
      <c r="G238" s="38">
        <v>50</v>
      </c>
      <c r="H238" s="46">
        <v>600</v>
      </c>
      <c r="I238" s="38">
        <v>695</v>
      </c>
      <c r="J238" s="38">
        <v>50</v>
      </c>
      <c r="K238" s="39"/>
      <c r="L238" s="39"/>
      <c r="M238" s="39"/>
      <c r="N238" s="39"/>
      <c r="O238" s="39"/>
      <c r="P238" s="39"/>
      <c r="Q238" s="39"/>
      <c r="R238" s="39"/>
      <c r="S238" s="39"/>
      <c r="T238" s="39"/>
    </row>
    <row r="239" spans="1:20" ht="15.75">
      <c r="A239" s="13">
        <v>48396</v>
      </c>
      <c r="B239" s="47">
        <v>31</v>
      </c>
      <c r="C239" s="38">
        <v>194.20500000000001</v>
      </c>
      <c r="D239" s="38">
        <v>267.46600000000001</v>
      </c>
      <c r="E239" s="44">
        <v>812.32899999999995</v>
      </c>
      <c r="F239" s="38">
        <v>1274</v>
      </c>
      <c r="G239" s="38">
        <v>50</v>
      </c>
      <c r="H239" s="46">
        <v>600</v>
      </c>
      <c r="I239" s="38">
        <v>695</v>
      </c>
      <c r="J239" s="38">
        <v>0</v>
      </c>
      <c r="K239" s="39"/>
      <c r="L239" s="39"/>
      <c r="M239" s="39"/>
      <c r="N239" s="39"/>
      <c r="O239" s="39"/>
      <c r="P239" s="39"/>
      <c r="Q239" s="39"/>
      <c r="R239" s="39"/>
      <c r="S239" s="39"/>
      <c r="T239" s="39"/>
    </row>
    <row r="240" spans="1:20" ht="15.75">
      <c r="A240" s="13">
        <v>48427</v>
      </c>
      <c r="B240" s="47">
        <v>31</v>
      </c>
      <c r="C240" s="38">
        <v>194.20500000000001</v>
      </c>
      <c r="D240" s="38">
        <v>267.46600000000001</v>
      </c>
      <c r="E240" s="44">
        <v>812.32899999999995</v>
      </c>
      <c r="F240" s="38">
        <v>1274</v>
      </c>
      <c r="G240" s="38">
        <v>50</v>
      </c>
      <c r="H240" s="46">
        <v>600</v>
      </c>
      <c r="I240" s="38">
        <v>695</v>
      </c>
      <c r="J240" s="38">
        <v>0</v>
      </c>
      <c r="K240" s="39"/>
      <c r="L240" s="39"/>
      <c r="M240" s="39"/>
      <c r="N240" s="39"/>
      <c r="O240" s="39"/>
      <c r="P240" s="39"/>
      <c r="Q240" s="39"/>
      <c r="R240" s="39"/>
      <c r="S240" s="39"/>
      <c r="T240" s="39"/>
    </row>
    <row r="241" spans="1:20" ht="15.75">
      <c r="A241" s="13">
        <v>48458</v>
      </c>
      <c r="B241" s="47">
        <v>30</v>
      </c>
      <c r="C241" s="38">
        <v>194.20500000000001</v>
      </c>
      <c r="D241" s="38">
        <v>267.46600000000001</v>
      </c>
      <c r="E241" s="44">
        <v>812.32899999999995</v>
      </c>
      <c r="F241" s="38">
        <v>1274</v>
      </c>
      <c r="G241" s="38">
        <v>50</v>
      </c>
      <c r="H241" s="46">
        <v>600</v>
      </c>
      <c r="I241" s="38">
        <v>695</v>
      </c>
      <c r="J241" s="38">
        <v>0</v>
      </c>
      <c r="K241" s="39"/>
      <c r="L241" s="39"/>
      <c r="M241" s="39"/>
      <c r="N241" s="39"/>
      <c r="O241" s="39"/>
      <c r="P241" s="39"/>
      <c r="Q241" s="39"/>
      <c r="R241" s="39"/>
      <c r="S241" s="39"/>
      <c r="T241" s="39"/>
    </row>
    <row r="242" spans="1:20" ht="15.75">
      <c r="A242" s="13">
        <v>48488</v>
      </c>
      <c r="B242" s="47">
        <v>31</v>
      </c>
      <c r="C242" s="38">
        <v>131.881</v>
      </c>
      <c r="D242" s="38">
        <v>277.16699999999997</v>
      </c>
      <c r="E242" s="44">
        <v>829.952</v>
      </c>
      <c r="F242" s="38">
        <v>1239</v>
      </c>
      <c r="G242" s="38">
        <v>75</v>
      </c>
      <c r="H242" s="46">
        <v>600</v>
      </c>
      <c r="I242" s="38">
        <v>695</v>
      </c>
      <c r="J242" s="38">
        <v>0</v>
      </c>
      <c r="K242" s="39"/>
      <c r="L242" s="39"/>
      <c r="M242" s="39"/>
      <c r="N242" s="39"/>
      <c r="O242" s="39"/>
      <c r="P242" s="39"/>
      <c r="Q242" s="39"/>
      <c r="R242" s="39"/>
      <c r="S242" s="39"/>
      <c r="T242" s="39"/>
    </row>
    <row r="243" spans="1:20" ht="15.75">
      <c r="A243" s="13">
        <v>48519</v>
      </c>
      <c r="B243" s="47">
        <v>30</v>
      </c>
      <c r="C243" s="38">
        <v>122.58</v>
      </c>
      <c r="D243" s="38">
        <v>297.94099999999997</v>
      </c>
      <c r="E243" s="44">
        <v>729.47900000000004</v>
      </c>
      <c r="F243" s="38">
        <v>1150</v>
      </c>
      <c r="G243" s="38">
        <v>100</v>
      </c>
      <c r="H243" s="46">
        <v>600</v>
      </c>
      <c r="I243" s="38">
        <v>695</v>
      </c>
      <c r="J243" s="38">
        <v>50</v>
      </c>
      <c r="K243" s="39"/>
      <c r="L243" s="39"/>
      <c r="M243" s="39"/>
      <c r="N243" s="39"/>
      <c r="O243" s="39"/>
      <c r="P243" s="39"/>
      <c r="Q243" s="39"/>
      <c r="R243" s="39"/>
      <c r="S243" s="39"/>
      <c r="T243" s="39"/>
    </row>
    <row r="244" spans="1:20" ht="15.75">
      <c r="A244" s="13">
        <v>48549</v>
      </c>
      <c r="B244" s="47">
        <v>31</v>
      </c>
      <c r="C244" s="38">
        <v>122.58</v>
      </c>
      <c r="D244" s="38">
        <v>297.94099999999997</v>
      </c>
      <c r="E244" s="44">
        <v>729.47900000000004</v>
      </c>
      <c r="F244" s="38">
        <v>1150</v>
      </c>
      <c r="G244" s="38">
        <v>100</v>
      </c>
      <c r="H244" s="46">
        <v>600</v>
      </c>
      <c r="I244" s="38">
        <v>695</v>
      </c>
      <c r="J244" s="38">
        <v>50</v>
      </c>
      <c r="K244" s="39"/>
      <c r="L244" s="39"/>
      <c r="M244" s="39"/>
      <c r="N244" s="39"/>
      <c r="O244" s="39"/>
      <c r="P244" s="39"/>
      <c r="Q244" s="39"/>
      <c r="R244" s="39"/>
      <c r="S244" s="39"/>
      <c r="T244" s="39"/>
    </row>
    <row r="245" spans="1:20" ht="15.75">
      <c r="A245" s="13">
        <v>48580</v>
      </c>
      <c r="B245" s="47">
        <v>31</v>
      </c>
      <c r="C245" s="38">
        <v>122.58</v>
      </c>
      <c r="D245" s="38">
        <v>297.94099999999997</v>
      </c>
      <c r="E245" s="44">
        <v>729.47900000000004</v>
      </c>
      <c r="F245" s="38">
        <v>1150</v>
      </c>
      <c r="G245" s="38">
        <v>100</v>
      </c>
      <c r="H245" s="46">
        <v>600</v>
      </c>
      <c r="I245" s="38">
        <v>695</v>
      </c>
      <c r="J245" s="38">
        <v>50</v>
      </c>
      <c r="K245" s="39"/>
      <c r="L245" s="39"/>
      <c r="M245" s="39"/>
      <c r="N245" s="39"/>
      <c r="O245" s="39"/>
      <c r="P245" s="39"/>
      <c r="Q245" s="39"/>
      <c r="R245" s="39"/>
      <c r="S245" s="39"/>
      <c r="T245" s="39"/>
    </row>
    <row r="246" spans="1:20" ht="15.75">
      <c r="A246" s="13">
        <v>48611</v>
      </c>
      <c r="B246" s="47">
        <v>28</v>
      </c>
      <c r="C246" s="38">
        <v>122.58</v>
      </c>
      <c r="D246" s="38">
        <v>297.94099999999997</v>
      </c>
      <c r="E246" s="44">
        <v>729.47900000000004</v>
      </c>
      <c r="F246" s="38">
        <v>1150</v>
      </c>
      <c r="G246" s="38">
        <v>100</v>
      </c>
      <c r="H246" s="46">
        <v>600</v>
      </c>
      <c r="I246" s="38">
        <v>695</v>
      </c>
      <c r="J246" s="38">
        <v>50</v>
      </c>
      <c r="K246" s="39"/>
      <c r="L246" s="39"/>
      <c r="M246" s="39"/>
      <c r="N246" s="39"/>
      <c r="O246" s="39"/>
      <c r="P246" s="39"/>
      <c r="Q246" s="39"/>
      <c r="R246" s="39"/>
      <c r="S246" s="39"/>
      <c r="T246" s="39"/>
    </row>
    <row r="247" spans="1:20" ht="15.75">
      <c r="A247" s="13">
        <v>48639</v>
      </c>
      <c r="B247" s="47">
        <v>31</v>
      </c>
      <c r="C247" s="38">
        <v>122.58</v>
      </c>
      <c r="D247" s="38">
        <v>297.94099999999997</v>
      </c>
      <c r="E247" s="44">
        <v>729.47900000000004</v>
      </c>
      <c r="F247" s="38">
        <v>1150</v>
      </c>
      <c r="G247" s="38">
        <v>100</v>
      </c>
      <c r="H247" s="46">
        <v>600</v>
      </c>
      <c r="I247" s="38">
        <v>695</v>
      </c>
      <c r="J247" s="38">
        <v>50</v>
      </c>
      <c r="K247" s="39"/>
      <c r="L247" s="39"/>
      <c r="M247" s="39"/>
      <c r="N247" s="39"/>
      <c r="O247" s="39"/>
      <c r="P247" s="39"/>
      <c r="Q247" s="39"/>
      <c r="R247" s="39"/>
      <c r="S247" s="39"/>
      <c r="T247" s="39"/>
    </row>
    <row r="248" spans="1:20" ht="15.75">
      <c r="A248" s="13">
        <v>48670</v>
      </c>
      <c r="B248" s="47">
        <v>30</v>
      </c>
      <c r="C248" s="38">
        <v>141.29300000000001</v>
      </c>
      <c r="D248" s="38">
        <v>267.99299999999999</v>
      </c>
      <c r="E248" s="44">
        <v>829.71400000000006</v>
      </c>
      <c r="F248" s="38">
        <v>1239</v>
      </c>
      <c r="G248" s="38">
        <v>100</v>
      </c>
      <c r="H248" s="46">
        <v>600</v>
      </c>
      <c r="I248" s="38">
        <v>695</v>
      </c>
      <c r="J248" s="38">
        <v>50</v>
      </c>
      <c r="K248" s="39"/>
      <c r="L248" s="39"/>
      <c r="M248" s="39"/>
      <c r="N248" s="39"/>
      <c r="O248" s="39"/>
      <c r="P248" s="39"/>
      <c r="Q248" s="39"/>
      <c r="R248" s="39"/>
      <c r="S248" s="39"/>
      <c r="T248" s="39"/>
    </row>
    <row r="249" spans="1:20" ht="15.75">
      <c r="A249" s="13">
        <v>48700</v>
      </c>
      <c r="B249" s="47">
        <v>31</v>
      </c>
      <c r="C249" s="38">
        <v>194.20500000000001</v>
      </c>
      <c r="D249" s="38">
        <v>267.46600000000001</v>
      </c>
      <c r="E249" s="44">
        <v>812.32899999999995</v>
      </c>
      <c r="F249" s="38">
        <v>1274</v>
      </c>
      <c r="G249" s="38">
        <v>75</v>
      </c>
      <c r="H249" s="46">
        <v>600</v>
      </c>
      <c r="I249" s="38">
        <v>695</v>
      </c>
      <c r="J249" s="38">
        <v>50</v>
      </c>
      <c r="K249" s="39"/>
      <c r="L249" s="39"/>
      <c r="M249" s="39"/>
      <c r="N249" s="39"/>
      <c r="O249" s="39"/>
      <c r="P249" s="39"/>
      <c r="Q249" s="39"/>
      <c r="R249" s="39"/>
      <c r="S249" s="39"/>
      <c r="T249" s="39"/>
    </row>
    <row r="250" spans="1:20" ht="15.75">
      <c r="A250" s="13">
        <v>48731</v>
      </c>
      <c r="B250" s="47">
        <v>30</v>
      </c>
      <c r="C250" s="38">
        <v>194.20500000000001</v>
      </c>
      <c r="D250" s="38">
        <v>267.46600000000001</v>
      </c>
      <c r="E250" s="44">
        <v>812.32899999999995</v>
      </c>
      <c r="F250" s="38">
        <v>1274</v>
      </c>
      <c r="G250" s="38">
        <v>50</v>
      </c>
      <c r="H250" s="46">
        <v>600</v>
      </c>
      <c r="I250" s="38">
        <v>695</v>
      </c>
      <c r="J250" s="38">
        <v>50</v>
      </c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ht="15.75">
      <c r="A251" s="13">
        <v>48761</v>
      </c>
      <c r="B251" s="47">
        <v>31</v>
      </c>
      <c r="C251" s="38">
        <v>194.20500000000001</v>
      </c>
      <c r="D251" s="38">
        <v>267.46600000000001</v>
      </c>
      <c r="E251" s="44">
        <v>812.32899999999995</v>
      </c>
      <c r="F251" s="38">
        <v>1274</v>
      </c>
      <c r="G251" s="38">
        <v>50</v>
      </c>
      <c r="H251" s="46">
        <v>600</v>
      </c>
      <c r="I251" s="38">
        <v>695</v>
      </c>
      <c r="J251" s="38">
        <v>0</v>
      </c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ht="15.75">
      <c r="A252" s="13">
        <v>48792</v>
      </c>
      <c r="B252" s="47">
        <v>31</v>
      </c>
      <c r="C252" s="38">
        <v>194.20500000000001</v>
      </c>
      <c r="D252" s="38">
        <v>267.46600000000001</v>
      </c>
      <c r="E252" s="44">
        <v>812.32899999999995</v>
      </c>
      <c r="F252" s="38">
        <v>1274</v>
      </c>
      <c r="G252" s="38">
        <v>50</v>
      </c>
      <c r="H252" s="46">
        <v>600</v>
      </c>
      <c r="I252" s="38">
        <v>695</v>
      </c>
      <c r="J252" s="38">
        <v>0</v>
      </c>
      <c r="K252" s="39"/>
      <c r="L252" s="39"/>
      <c r="M252" s="39"/>
      <c r="N252" s="39"/>
      <c r="O252" s="39"/>
      <c r="P252" s="39"/>
      <c r="Q252" s="39"/>
      <c r="R252" s="39"/>
      <c r="S252" s="39"/>
      <c r="T252" s="39"/>
    </row>
    <row r="253" spans="1:20" ht="15.75">
      <c r="A253" s="13">
        <v>48823</v>
      </c>
      <c r="B253" s="47">
        <v>30</v>
      </c>
      <c r="C253" s="38">
        <v>194.20500000000001</v>
      </c>
      <c r="D253" s="38">
        <v>267.46600000000001</v>
      </c>
      <c r="E253" s="44">
        <v>812.32899999999995</v>
      </c>
      <c r="F253" s="38">
        <v>1274</v>
      </c>
      <c r="G253" s="38">
        <v>50</v>
      </c>
      <c r="H253" s="46">
        <v>600</v>
      </c>
      <c r="I253" s="38">
        <v>695</v>
      </c>
      <c r="J253" s="38">
        <v>0</v>
      </c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spans="1:20" ht="15.75">
      <c r="A254" s="13">
        <v>48853</v>
      </c>
      <c r="B254" s="47">
        <v>31</v>
      </c>
      <c r="C254" s="38">
        <v>131.881</v>
      </c>
      <c r="D254" s="38">
        <v>277.16699999999997</v>
      </c>
      <c r="E254" s="44">
        <v>829.952</v>
      </c>
      <c r="F254" s="38">
        <v>1239</v>
      </c>
      <c r="G254" s="38">
        <v>75</v>
      </c>
      <c r="H254" s="46">
        <v>600</v>
      </c>
      <c r="I254" s="38">
        <v>695</v>
      </c>
      <c r="J254" s="38">
        <v>0</v>
      </c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5.75">
      <c r="A255" s="13">
        <v>48884</v>
      </c>
      <c r="B255" s="47">
        <v>30</v>
      </c>
      <c r="C255" s="38">
        <v>122.58</v>
      </c>
      <c r="D255" s="38">
        <v>297.94099999999997</v>
      </c>
      <c r="E255" s="44">
        <v>729.47900000000004</v>
      </c>
      <c r="F255" s="38">
        <v>1150</v>
      </c>
      <c r="G255" s="38">
        <v>100</v>
      </c>
      <c r="H255" s="46">
        <v>600</v>
      </c>
      <c r="I255" s="38">
        <v>695</v>
      </c>
      <c r="J255" s="38">
        <v>50</v>
      </c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5.75">
      <c r="A256" s="13">
        <v>48914</v>
      </c>
      <c r="B256" s="47">
        <v>31</v>
      </c>
      <c r="C256" s="38">
        <v>122.58</v>
      </c>
      <c r="D256" s="38">
        <v>297.94099999999997</v>
      </c>
      <c r="E256" s="44">
        <v>729.47900000000004</v>
      </c>
      <c r="F256" s="38">
        <v>1150</v>
      </c>
      <c r="G256" s="38">
        <v>100</v>
      </c>
      <c r="H256" s="46">
        <v>600</v>
      </c>
      <c r="I256" s="38">
        <v>695</v>
      </c>
      <c r="J256" s="38">
        <v>50</v>
      </c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ht="15.75">
      <c r="A257" s="13">
        <v>48945</v>
      </c>
      <c r="B257" s="47">
        <v>31</v>
      </c>
      <c r="C257" s="38">
        <v>122.58</v>
      </c>
      <c r="D257" s="38">
        <v>297.94099999999997</v>
      </c>
      <c r="E257" s="44">
        <v>729.47900000000004</v>
      </c>
      <c r="F257" s="38">
        <v>1150</v>
      </c>
      <c r="G257" s="38">
        <v>100</v>
      </c>
      <c r="H257" s="46">
        <v>600</v>
      </c>
      <c r="I257" s="38">
        <v>695</v>
      </c>
      <c r="J257" s="38">
        <v>50</v>
      </c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ht="15.75">
      <c r="A258" s="13">
        <v>48976</v>
      </c>
      <c r="B258" s="47">
        <v>28</v>
      </c>
      <c r="C258" s="38">
        <v>122.58</v>
      </c>
      <c r="D258" s="38">
        <v>297.94099999999997</v>
      </c>
      <c r="E258" s="44">
        <v>729.47900000000004</v>
      </c>
      <c r="F258" s="38">
        <v>1150</v>
      </c>
      <c r="G258" s="38">
        <v>100</v>
      </c>
      <c r="H258" s="46">
        <v>600</v>
      </c>
      <c r="I258" s="38">
        <v>695</v>
      </c>
      <c r="J258" s="38">
        <v>50</v>
      </c>
      <c r="K258" s="39"/>
      <c r="L258" s="39"/>
      <c r="M258" s="39"/>
      <c r="N258" s="39"/>
      <c r="O258" s="39"/>
      <c r="P258" s="39"/>
      <c r="Q258" s="39"/>
      <c r="R258" s="39"/>
      <c r="S258" s="39"/>
      <c r="T258" s="39"/>
    </row>
    <row r="259" spans="1:20" ht="15.75">
      <c r="A259" s="13">
        <v>49004</v>
      </c>
      <c r="B259" s="47">
        <v>31</v>
      </c>
      <c r="C259" s="38">
        <v>122.58</v>
      </c>
      <c r="D259" s="38">
        <v>297.94099999999997</v>
      </c>
      <c r="E259" s="44">
        <v>729.47900000000004</v>
      </c>
      <c r="F259" s="38">
        <v>1150</v>
      </c>
      <c r="G259" s="38">
        <v>100</v>
      </c>
      <c r="H259" s="46">
        <v>600</v>
      </c>
      <c r="I259" s="38">
        <v>695</v>
      </c>
      <c r="J259" s="38">
        <v>50</v>
      </c>
      <c r="K259" s="39"/>
      <c r="L259" s="39"/>
      <c r="M259" s="39"/>
      <c r="N259" s="39"/>
      <c r="O259" s="39"/>
      <c r="P259" s="39"/>
      <c r="Q259" s="39"/>
      <c r="R259" s="39"/>
      <c r="S259" s="39"/>
      <c r="T259" s="39"/>
    </row>
    <row r="260" spans="1:20" ht="15.75">
      <c r="A260" s="13">
        <v>49035</v>
      </c>
      <c r="B260" s="47">
        <v>30</v>
      </c>
      <c r="C260" s="38">
        <v>141.29300000000001</v>
      </c>
      <c r="D260" s="38">
        <v>267.99299999999999</v>
      </c>
      <c r="E260" s="44">
        <v>829.71400000000006</v>
      </c>
      <c r="F260" s="38">
        <v>1239</v>
      </c>
      <c r="G260" s="38">
        <v>100</v>
      </c>
      <c r="H260" s="46">
        <v>600</v>
      </c>
      <c r="I260" s="38">
        <v>695</v>
      </c>
      <c r="J260" s="38">
        <v>50</v>
      </c>
      <c r="K260" s="39"/>
      <c r="L260" s="39"/>
      <c r="M260" s="39"/>
      <c r="N260" s="39"/>
      <c r="O260" s="39"/>
      <c r="P260" s="39"/>
      <c r="Q260" s="39"/>
      <c r="R260" s="39"/>
      <c r="S260" s="39"/>
      <c r="T260" s="39"/>
    </row>
    <row r="261" spans="1:20" ht="15.75">
      <c r="A261" s="13">
        <v>49065</v>
      </c>
      <c r="B261" s="47">
        <v>31</v>
      </c>
      <c r="C261" s="38">
        <v>194.20500000000001</v>
      </c>
      <c r="D261" s="38">
        <v>267.46600000000001</v>
      </c>
      <c r="E261" s="44">
        <v>812.32899999999995</v>
      </c>
      <c r="F261" s="38">
        <v>1274</v>
      </c>
      <c r="G261" s="38">
        <v>75</v>
      </c>
      <c r="H261" s="46">
        <v>600</v>
      </c>
      <c r="I261" s="38">
        <v>695</v>
      </c>
      <c r="J261" s="38">
        <v>50</v>
      </c>
      <c r="K261" s="39"/>
      <c r="L261" s="39"/>
      <c r="M261" s="39"/>
      <c r="N261" s="39"/>
      <c r="O261" s="39"/>
      <c r="P261" s="39"/>
      <c r="Q261" s="39"/>
      <c r="R261" s="39"/>
      <c r="S261" s="39"/>
      <c r="T261" s="39"/>
    </row>
    <row r="262" spans="1:20" ht="15.75">
      <c r="A262" s="13">
        <v>49096</v>
      </c>
      <c r="B262" s="47">
        <v>30</v>
      </c>
      <c r="C262" s="38">
        <v>194.20500000000001</v>
      </c>
      <c r="D262" s="38">
        <v>267.46600000000001</v>
      </c>
      <c r="E262" s="44">
        <v>812.32899999999995</v>
      </c>
      <c r="F262" s="38">
        <v>1274</v>
      </c>
      <c r="G262" s="38">
        <v>50</v>
      </c>
      <c r="H262" s="46">
        <v>600</v>
      </c>
      <c r="I262" s="38">
        <v>695</v>
      </c>
      <c r="J262" s="38">
        <v>50</v>
      </c>
      <c r="K262" s="39"/>
      <c r="L262" s="39"/>
      <c r="M262" s="39"/>
      <c r="N262" s="39"/>
      <c r="O262" s="39"/>
      <c r="P262" s="39"/>
      <c r="Q262" s="39"/>
      <c r="R262" s="39"/>
      <c r="S262" s="39"/>
      <c r="T262" s="39"/>
    </row>
    <row r="263" spans="1:20" ht="15.75">
      <c r="A263" s="13">
        <v>49126</v>
      </c>
      <c r="B263" s="47">
        <v>31</v>
      </c>
      <c r="C263" s="38">
        <v>194.20500000000001</v>
      </c>
      <c r="D263" s="38">
        <v>267.46600000000001</v>
      </c>
      <c r="E263" s="44">
        <v>812.32899999999995</v>
      </c>
      <c r="F263" s="38">
        <v>1274</v>
      </c>
      <c r="G263" s="38">
        <v>50</v>
      </c>
      <c r="H263" s="46">
        <v>600</v>
      </c>
      <c r="I263" s="38">
        <v>695</v>
      </c>
      <c r="J263" s="38">
        <v>0</v>
      </c>
      <c r="K263" s="39"/>
      <c r="L263" s="39"/>
      <c r="M263" s="39"/>
      <c r="N263" s="39"/>
      <c r="O263" s="39"/>
      <c r="P263" s="39"/>
      <c r="Q263" s="39"/>
      <c r="R263" s="39"/>
      <c r="S263" s="39"/>
      <c r="T263" s="39"/>
    </row>
    <row r="264" spans="1:20" ht="15.75">
      <c r="A264" s="13">
        <v>49157</v>
      </c>
      <c r="B264" s="47">
        <v>31</v>
      </c>
      <c r="C264" s="38">
        <v>194.20500000000001</v>
      </c>
      <c r="D264" s="38">
        <v>267.46600000000001</v>
      </c>
      <c r="E264" s="44">
        <v>812.32899999999995</v>
      </c>
      <c r="F264" s="38">
        <v>1274</v>
      </c>
      <c r="G264" s="38">
        <v>50</v>
      </c>
      <c r="H264" s="46">
        <v>600</v>
      </c>
      <c r="I264" s="38">
        <v>695</v>
      </c>
      <c r="J264" s="38">
        <v>0</v>
      </c>
      <c r="K264" s="39"/>
      <c r="L264" s="39"/>
      <c r="M264" s="39"/>
      <c r="N264" s="39"/>
      <c r="O264" s="39"/>
      <c r="P264" s="39"/>
      <c r="Q264" s="39"/>
      <c r="R264" s="39"/>
      <c r="S264" s="39"/>
      <c r="T264" s="39"/>
    </row>
    <row r="265" spans="1:20" ht="15.75">
      <c r="A265" s="13">
        <v>49188</v>
      </c>
      <c r="B265" s="47">
        <v>30</v>
      </c>
      <c r="C265" s="38">
        <v>194.20500000000001</v>
      </c>
      <c r="D265" s="38">
        <v>267.46600000000001</v>
      </c>
      <c r="E265" s="44">
        <v>812.32899999999995</v>
      </c>
      <c r="F265" s="38">
        <v>1274</v>
      </c>
      <c r="G265" s="38">
        <v>50</v>
      </c>
      <c r="H265" s="46">
        <v>600</v>
      </c>
      <c r="I265" s="38">
        <v>695</v>
      </c>
      <c r="J265" s="38">
        <v>0</v>
      </c>
      <c r="K265" s="39"/>
      <c r="L265" s="39"/>
      <c r="M265" s="39"/>
      <c r="N265" s="39"/>
      <c r="O265" s="39"/>
      <c r="P265" s="39"/>
      <c r="Q265" s="39"/>
      <c r="R265" s="39"/>
      <c r="S265" s="39"/>
      <c r="T265" s="39"/>
    </row>
    <row r="266" spans="1:20" ht="15.75">
      <c r="A266" s="13">
        <v>49218</v>
      </c>
      <c r="B266" s="47">
        <v>31</v>
      </c>
      <c r="C266" s="38">
        <v>131.881</v>
      </c>
      <c r="D266" s="38">
        <v>277.16699999999997</v>
      </c>
      <c r="E266" s="44">
        <v>829.952</v>
      </c>
      <c r="F266" s="38">
        <v>1239</v>
      </c>
      <c r="G266" s="38">
        <v>75</v>
      </c>
      <c r="H266" s="46">
        <v>600</v>
      </c>
      <c r="I266" s="38">
        <v>695</v>
      </c>
      <c r="J266" s="38">
        <v>0</v>
      </c>
      <c r="K266" s="39"/>
      <c r="L266" s="39"/>
      <c r="M266" s="39"/>
      <c r="N266" s="39"/>
      <c r="O266" s="39"/>
      <c r="P266" s="39"/>
      <c r="Q266" s="39"/>
      <c r="R266" s="39"/>
      <c r="S266" s="39"/>
      <c r="T266" s="39"/>
    </row>
    <row r="267" spans="1:20" ht="15.75">
      <c r="A267" s="13">
        <v>49249</v>
      </c>
      <c r="B267" s="47">
        <v>30</v>
      </c>
      <c r="C267" s="38">
        <v>122.58</v>
      </c>
      <c r="D267" s="38">
        <v>297.94099999999997</v>
      </c>
      <c r="E267" s="44">
        <v>729.47900000000004</v>
      </c>
      <c r="F267" s="38">
        <v>1150</v>
      </c>
      <c r="G267" s="38">
        <v>100</v>
      </c>
      <c r="H267" s="46">
        <v>600</v>
      </c>
      <c r="I267" s="38">
        <v>695</v>
      </c>
      <c r="J267" s="38">
        <v>50</v>
      </c>
      <c r="K267" s="39"/>
      <c r="L267" s="39"/>
      <c r="M267" s="39"/>
      <c r="N267" s="39"/>
      <c r="O267" s="39"/>
      <c r="P267" s="39"/>
      <c r="Q267" s="39"/>
      <c r="R267" s="39"/>
      <c r="S267" s="39"/>
      <c r="T267" s="39"/>
    </row>
    <row r="268" spans="1:20" ht="15.75">
      <c r="A268" s="13">
        <v>49279</v>
      </c>
      <c r="B268" s="47">
        <v>31</v>
      </c>
      <c r="C268" s="38">
        <v>122.58</v>
      </c>
      <c r="D268" s="38">
        <v>297.94099999999997</v>
      </c>
      <c r="E268" s="44">
        <v>729.47900000000004</v>
      </c>
      <c r="F268" s="38">
        <v>1150</v>
      </c>
      <c r="G268" s="38">
        <v>100</v>
      </c>
      <c r="H268" s="46">
        <v>600</v>
      </c>
      <c r="I268" s="38">
        <v>695</v>
      </c>
      <c r="J268" s="38">
        <v>50</v>
      </c>
      <c r="K268" s="39"/>
      <c r="L268" s="39"/>
      <c r="M268" s="39"/>
      <c r="N268" s="39"/>
      <c r="O268" s="39"/>
      <c r="P268" s="39"/>
      <c r="Q268" s="39"/>
      <c r="R268" s="39"/>
      <c r="S268" s="39"/>
      <c r="T268" s="39"/>
    </row>
    <row r="269" spans="1:20" ht="15.75">
      <c r="A269" s="13">
        <v>49310</v>
      </c>
      <c r="B269" s="47">
        <v>31</v>
      </c>
      <c r="C269" s="38">
        <v>122.58</v>
      </c>
      <c r="D269" s="38">
        <v>297.94099999999997</v>
      </c>
      <c r="E269" s="44">
        <v>729.47900000000004</v>
      </c>
      <c r="F269" s="38">
        <v>1150</v>
      </c>
      <c r="G269" s="38">
        <v>100</v>
      </c>
      <c r="H269" s="46">
        <v>600</v>
      </c>
      <c r="I269" s="38">
        <v>695</v>
      </c>
      <c r="J269" s="38">
        <v>50</v>
      </c>
      <c r="K269" s="39"/>
      <c r="L269" s="39"/>
      <c r="M269" s="39"/>
      <c r="N269" s="39"/>
      <c r="O269" s="39"/>
      <c r="P269" s="39"/>
      <c r="Q269" s="39"/>
      <c r="R269" s="39"/>
      <c r="S269" s="39"/>
      <c r="T269" s="39"/>
    </row>
    <row r="270" spans="1:20" ht="15.75">
      <c r="A270" s="13">
        <v>49341</v>
      </c>
      <c r="B270" s="47">
        <v>28</v>
      </c>
      <c r="C270" s="38">
        <v>122.58</v>
      </c>
      <c r="D270" s="38">
        <v>297.94099999999997</v>
      </c>
      <c r="E270" s="44">
        <v>729.47900000000004</v>
      </c>
      <c r="F270" s="38">
        <v>1150</v>
      </c>
      <c r="G270" s="38">
        <v>100</v>
      </c>
      <c r="H270" s="46">
        <v>600</v>
      </c>
      <c r="I270" s="38">
        <v>695</v>
      </c>
      <c r="J270" s="38">
        <v>50</v>
      </c>
      <c r="K270" s="39"/>
      <c r="L270" s="39"/>
      <c r="M270" s="39"/>
      <c r="N270" s="39"/>
      <c r="O270" s="39"/>
      <c r="P270" s="39"/>
      <c r="Q270" s="39"/>
      <c r="R270" s="39"/>
      <c r="S270" s="39"/>
      <c r="T270" s="39"/>
    </row>
    <row r="271" spans="1:20" ht="15.75">
      <c r="A271" s="13">
        <v>49369</v>
      </c>
      <c r="B271" s="47">
        <v>31</v>
      </c>
      <c r="C271" s="38">
        <v>122.58</v>
      </c>
      <c r="D271" s="38">
        <v>297.94099999999997</v>
      </c>
      <c r="E271" s="44">
        <v>729.47900000000004</v>
      </c>
      <c r="F271" s="38">
        <v>1150</v>
      </c>
      <c r="G271" s="38">
        <v>100</v>
      </c>
      <c r="H271" s="46">
        <v>600</v>
      </c>
      <c r="I271" s="38">
        <v>695</v>
      </c>
      <c r="J271" s="38">
        <v>50</v>
      </c>
      <c r="K271" s="39"/>
      <c r="L271" s="39"/>
      <c r="M271" s="39"/>
      <c r="N271" s="39"/>
      <c r="O271" s="39"/>
      <c r="P271" s="39"/>
      <c r="Q271" s="39"/>
      <c r="R271" s="39"/>
      <c r="S271" s="39"/>
      <c r="T271" s="39"/>
    </row>
    <row r="272" spans="1:20" ht="15.75">
      <c r="A272" s="13">
        <v>49400</v>
      </c>
      <c r="B272" s="47">
        <v>30</v>
      </c>
      <c r="C272" s="38">
        <v>141.29300000000001</v>
      </c>
      <c r="D272" s="38">
        <v>267.99299999999999</v>
      </c>
      <c r="E272" s="44">
        <v>829.71400000000006</v>
      </c>
      <c r="F272" s="38">
        <v>1239</v>
      </c>
      <c r="G272" s="38">
        <v>100</v>
      </c>
      <c r="H272" s="46">
        <v>600</v>
      </c>
      <c r="I272" s="38">
        <v>695</v>
      </c>
      <c r="J272" s="38">
        <v>50</v>
      </c>
      <c r="K272" s="39"/>
      <c r="L272" s="39"/>
      <c r="M272" s="39"/>
      <c r="N272" s="39"/>
      <c r="O272" s="39"/>
      <c r="P272" s="39"/>
      <c r="Q272" s="39"/>
      <c r="R272" s="39"/>
      <c r="S272" s="39"/>
      <c r="T272" s="39"/>
    </row>
    <row r="273" spans="1:20" ht="15.75">
      <c r="A273" s="13">
        <v>49430</v>
      </c>
      <c r="B273" s="47">
        <v>31</v>
      </c>
      <c r="C273" s="38">
        <v>194.20500000000001</v>
      </c>
      <c r="D273" s="38">
        <v>267.46600000000001</v>
      </c>
      <c r="E273" s="44">
        <v>812.32899999999995</v>
      </c>
      <c r="F273" s="38">
        <v>1274</v>
      </c>
      <c r="G273" s="38">
        <v>75</v>
      </c>
      <c r="H273" s="46">
        <v>600</v>
      </c>
      <c r="I273" s="38">
        <v>695</v>
      </c>
      <c r="J273" s="38">
        <v>50</v>
      </c>
      <c r="K273" s="39"/>
      <c r="L273" s="39"/>
      <c r="M273" s="39"/>
      <c r="N273" s="39"/>
      <c r="O273" s="39"/>
      <c r="P273" s="39"/>
      <c r="Q273" s="39"/>
      <c r="R273" s="39"/>
      <c r="S273" s="39"/>
      <c r="T273" s="39"/>
    </row>
    <row r="274" spans="1:20" ht="15.75">
      <c r="A274" s="14">
        <v>49461</v>
      </c>
      <c r="B274" s="47">
        <v>30</v>
      </c>
      <c r="C274" s="38">
        <v>194.20500000000001</v>
      </c>
      <c r="D274" s="38">
        <v>267.46600000000001</v>
      </c>
      <c r="E274" s="44">
        <v>812.32899999999995</v>
      </c>
      <c r="F274" s="38">
        <v>1274</v>
      </c>
      <c r="G274" s="38">
        <v>50</v>
      </c>
      <c r="H274" s="46">
        <v>600</v>
      </c>
      <c r="I274" s="38">
        <v>695</v>
      </c>
      <c r="J274" s="38">
        <v>50</v>
      </c>
      <c r="K274" s="39"/>
      <c r="L274" s="39"/>
      <c r="M274" s="39"/>
      <c r="N274" s="39"/>
      <c r="O274" s="39"/>
      <c r="P274" s="39"/>
      <c r="Q274" s="39"/>
      <c r="R274" s="39"/>
      <c r="S274" s="39"/>
      <c r="T274" s="39"/>
    </row>
    <row r="275" spans="1:20" ht="15.75">
      <c r="A275" s="14">
        <v>49491</v>
      </c>
      <c r="B275" s="47">
        <v>31</v>
      </c>
      <c r="C275" s="38">
        <v>194.20500000000001</v>
      </c>
      <c r="D275" s="38">
        <v>267.46600000000001</v>
      </c>
      <c r="E275" s="44">
        <v>812.32899999999995</v>
      </c>
      <c r="F275" s="38">
        <v>1274</v>
      </c>
      <c r="G275" s="38">
        <v>50</v>
      </c>
      <c r="H275" s="46">
        <v>600</v>
      </c>
      <c r="I275" s="38">
        <v>695</v>
      </c>
      <c r="J275" s="38">
        <v>0</v>
      </c>
      <c r="K275" s="39"/>
      <c r="L275" s="39"/>
      <c r="M275" s="39"/>
      <c r="N275" s="39"/>
      <c r="O275" s="39"/>
      <c r="P275" s="39"/>
      <c r="Q275" s="39"/>
      <c r="R275" s="39"/>
      <c r="S275" s="39"/>
      <c r="T275" s="39"/>
    </row>
    <row r="276" spans="1:20" ht="15.75">
      <c r="A276" s="14">
        <v>49522</v>
      </c>
      <c r="B276" s="47">
        <v>31</v>
      </c>
      <c r="C276" s="38">
        <v>194.20500000000001</v>
      </c>
      <c r="D276" s="38">
        <v>267.46600000000001</v>
      </c>
      <c r="E276" s="44">
        <v>812.32899999999995</v>
      </c>
      <c r="F276" s="38">
        <v>1274</v>
      </c>
      <c r="G276" s="38">
        <v>50</v>
      </c>
      <c r="H276" s="46">
        <v>600</v>
      </c>
      <c r="I276" s="38">
        <v>695</v>
      </c>
      <c r="J276" s="38">
        <v>0</v>
      </c>
      <c r="K276" s="39"/>
      <c r="L276" s="39"/>
      <c r="M276" s="39"/>
      <c r="N276" s="39"/>
      <c r="O276" s="39"/>
      <c r="P276" s="39"/>
      <c r="Q276" s="39"/>
      <c r="R276" s="39"/>
      <c r="S276" s="39"/>
      <c r="T276" s="39"/>
    </row>
    <row r="277" spans="1:20" ht="15.75">
      <c r="A277" s="14">
        <v>49553</v>
      </c>
      <c r="B277" s="47">
        <v>30</v>
      </c>
      <c r="C277" s="38">
        <v>194.20500000000001</v>
      </c>
      <c r="D277" s="38">
        <v>267.46600000000001</v>
      </c>
      <c r="E277" s="44">
        <v>812.32899999999995</v>
      </c>
      <c r="F277" s="38">
        <v>1274</v>
      </c>
      <c r="G277" s="38">
        <v>50</v>
      </c>
      <c r="H277" s="46">
        <v>600</v>
      </c>
      <c r="I277" s="38">
        <v>695</v>
      </c>
      <c r="J277" s="38">
        <v>0</v>
      </c>
      <c r="K277" s="39"/>
      <c r="L277" s="39"/>
      <c r="M277" s="39"/>
      <c r="N277" s="39"/>
      <c r="O277" s="39"/>
      <c r="P277" s="39"/>
      <c r="Q277" s="39"/>
      <c r="R277" s="39"/>
      <c r="S277" s="39"/>
      <c r="T277" s="39"/>
    </row>
    <row r="278" spans="1:20" ht="15.75">
      <c r="A278" s="14">
        <v>49583</v>
      </c>
      <c r="B278" s="47">
        <v>31</v>
      </c>
      <c r="C278" s="38">
        <v>131.881</v>
      </c>
      <c r="D278" s="38">
        <v>277.16699999999997</v>
      </c>
      <c r="E278" s="44">
        <v>829.952</v>
      </c>
      <c r="F278" s="38">
        <v>1239</v>
      </c>
      <c r="G278" s="38">
        <v>75</v>
      </c>
      <c r="H278" s="46">
        <v>600</v>
      </c>
      <c r="I278" s="38">
        <v>695</v>
      </c>
      <c r="J278" s="38">
        <v>0</v>
      </c>
      <c r="K278" s="39"/>
      <c r="L278" s="39"/>
      <c r="M278" s="39"/>
      <c r="N278" s="39"/>
      <c r="O278" s="39"/>
      <c r="P278" s="39"/>
      <c r="Q278" s="39"/>
      <c r="R278" s="39"/>
      <c r="S278" s="39"/>
      <c r="T278" s="39"/>
    </row>
    <row r="279" spans="1:20" ht="15.75">
      <c r="A279" s="14">
        <v>49614</v>
      </c>
      <c r="B279" s="47">
        <v>30</v>
      </c>
      <c r="C279" s="38">
        <v>122.58</v>
      </c>
      <c r="D279" s="38">
        <v>297.94099999999997</v>
      </c>
      <c r="E279" s="44">
        <v>729.47900000000004</v>
      </c>
      <c r="F279" s="38">
        <v>1150</v>
      </c>
      <c r="G279" s="38">
        <v>100</v>
      </c>
      <c r="H279" s="46">
        <v>600</v>
      </c>
      <c r="I279" s="38">
        <v>695</v>
      </c>
      <c r="J279" s="38">
        <v>50</v>
      </c>
      <c r="K279" s="39"/>
      <c r="L279" s="39"/>
      <c r="M279" s="39"/>
      <c r="N279" s="39"/>
      <c r="O279" s="39"/>
      <c r="P279" s="39"/>
      <c r="Q279" s="39"/>
      <c r="R279" s="39"/>
      <c r="S279" s="39"/>
      <c r="T279" s="39"/>
    </row>
    <row r="280" spans="1:20" ht="15.75">
      <c r="A280" s="14">
        <v>49644</v>
      </c>
      <c r="B280" s="47">
        <v>31</v>
      </c>
      <c r="C280" s="38">
        <v>122.58</v>
      </c>
      <c r="D280" s="38">
        <v>297.94099999999997</v>
      </c>
      <c r="E280" s="44">
        <v>729.47900000000004</v>
      </c>
      <c r="F280" s="38">
        <v>1150</v>
      </c>
      <c r="G280" s="38">
        <v>100</v>
      </c>
      <c r="H280" s="46">
        <v>600</v>
      </c>
      <c r="I280" s="38">
        <v>695</v>
      </c>
      <c r="J280" s="38">
        <v>50</v>
      </c>
      <c r="K280" s="39"/>
      <c r="L280" s="39"/>
      <c r="M280" s="39"/>
      <c r="N280" s="39"/>
      <c r="O280" s="39"/>
      <c r="P280" s="39"/>
      <c r="Q280" s="39"/>
      <c r="R280" s="39"/>
      <c r="S280" s="39"/>
      <c r="T280" s="39"/>
    </row>
    <row r="281" spans="1:20" ht="15.75">
      <c r="A281" s="14">
        <v>49675</v>
      </c>
      <c r="B281" s="47">
        <v>31</v>
      </c>
      <c r="C281" s="38">
        <v>122.58</v>
      </c>
      <c r="D281" s="38">
        <v>297.94099999999997</v>
      </c>
      <c r="E281" s="44">
        <v>729.47900000000004</v>
      </c>
      <c r="F281" s="38">
        <v>1150</v>
      </c>
      <c r="G281" s="38">
        <v>100</v>
      </c>
      <c r="H281" s="46">
        <v>600</v>
      </c>
      <c r="I281" s="38">
        <v>695</v>
      </c>
      <c r="J281" s="38">
        <v>50</v>
      </c>
      <c r="K281" s="39"/>
      <c r="L281" s="39"/>
      <c r="M281" s="39"/>
      <c r="N281" s="39"/>
      <c r="O281" s="39"/>
      <c r="P281" s="39"/>
      <c r="Q281" s="39"/>
      <c r="R281" s="39"/>
      <c r="S281" s="39"/>
      <c r="T281" s="39"/>
    </row>
    <row r="282" spans="1:20" ht="15.75">
      <c r="A282" s="14">
        <v>49706</v>
      </c>
      <c r="B282" s="47">
        <v>29</v>
      </c>
      <c r="C282" s="38">
        <v>122.58</v>
      </c>
      <c r="D282" s="38">
        <v>297.94099999999997</v>
      </c>
      <c r="E282" s="44">
        <v>729.47900000000004</v>
      </c>
      <c r="F282" s="38">
        <v>1150</v>
      </c>
      <c r="G282" s="38">
        <v>100</v>
      </c>
      <c r="H282" s="46">
        <v>600</v>
      </c>
      <c r="I282" s="38">
        <v>695</v>
      </c>
      <c r="J282" s="38">
        <v>50</v>
      </c>
      <c r="K282" s="39"/>
      <c r="L282" s="39"/>
      <c r="M282" s="39"/>
      <c r="N282" s="39"/>
      <c r="O282" s="39"/>
      <c r="P282" s="39"/>
      <c r="Q282" s="39"/>
      <c r="R282" s="39"/>
      <c r="S282" s="39"/>
      <c r="T282" s="39"/>
    </row>
    <row r="283" spans="1:20" ht="15.75">
      <c r="A283" s="14">
        <v>49735</v>
      </c>
      <c r="B283" s="47">
        <v>31</v>
      </c>
      <c r="C283" s="38">
        <v>122.58</v>
      </c>
      <c r="D283" s="38">
        <v>297.94099999999997</v>
      </c>
      <c r="E283" s="44">
        <v>729.47900000000004</v>
      </c>
      <c r="F283" s="38">
        <v>1150</v>
      </c>
      <c r="G283" s="38">
        <v>100</v>
      </c>
      <c r="H283" s="46">
        <v>600</v>
      </c>
      <c r="I283" s="38">
        <v>695</v>
      </c>
      <c r="J283" s="38">
        <v>50</v>
      </c>
      <c r="K283" s="39"/>
      <c r="L283" s="39"/>
      <c r="M283" s="39"/>
      <c r="N283" s="39"/>
      <c r="O283" s="39"/>
      <c r="P283" s="39"/>
      <c r="Q283" s="39"/>
      <c r="R283" s="39"/>
      <c r="S283" s="39"/>
      <c r="T283" s="39"/>
    </row>
    <row r="284" spans="1:20" ht="15.75">
      <c r="A284" s="14">
        <v>49766</v>
      </c>
      <c r="B284" s="47">
        <v>30</v>
      </c>
      <c r="C284" s="38">
        <v>141.29300000000001</v>
      </c>
      <c r="D284" s="38">
        <v>267.99299999999999</v>
      </c>
      <c r="E284" s="44">
        <v>829.71400000000006</v>
      </c>
      <c r="F284" s="38">
        <v>1239</v>
      </c>
      <c r="G284" s="38">
        <v>100</v>
      </c>
      <c r="H284" s="46">
        <v>600</v>
      </c>
      <c r="I284" s="38">
        <v>695</v>
      </c>
      <c r="J284" s="38">
        <v>50</v>
      </c>
      <c r="K284" s="39"/>
      <c r="L284" s="39"/>
      <c r="M284" s="39"/>
      <c r="N284" s="39"/>
      <c r="O284" s="39"/>
      <c r="P284" s="39"/>
      <c r="Q284" s="39"/>
      <c r="R284" s="39"/>
      <c r="S284" s="39"/>
      <c r="T284" s="39"/>
    </row>
    <row r="285" spans="1:20" ht="15.75">
      <c r="A285" s="14">
        <v>49796</v>
      </c>
      <c r="B285" s="47">
        <v>31</v>
      </c>
      <c r="C285" s="38">
        <v>194.20500000000001</v>
      </c>
      <c r="D285" s="38">
        <v>267.46600000000001</v>
      </c>
      <c r="E285" s="44">
        <v>812.32899999999995</v>
      </c>
      <c r="F285" s="38">
        <v>1274</v>
      </c>
      <c r="G285" s="38">
        <v>75</v>
      </c>
      <c r="H285" s="46">
        <v>600</v>
      </c>
      <c r="I285" s="38">
        <v>695</v>
      </c>
      <c r="J285" s="38">
        <v>50</v>
      </c>
      <c r="K285" s="39"/>
      <c r="L285" s="39"/>
      <c r="M285" s="39"/>
      <c r="N285" s="39"/>
      <c r="O285" s="39"/>
      <c r="P285" s="39"/>
      <c r="Q285" s="39"/>
      <c r="R285" s="39"/>
      <c r="S285" s="39"/>
      <c r="T285" s="39"/>
    </row>
    <row r="286" spans="1:20" ht="15.75">
      <c r="A286" s="14">
        <v>49827</v>
      </c>
      <c r="B286" s="47">
        <v>30</v>
      </c>
      <c r="C286" s="38">
        <v>194.20500000000001</v>
      </c>
      <c r="D286" s="38">
        <v>267.46600000000001</v>
      </c>
      <c r="E286" s="44">
        <v>812.32899999999995</v>
      </c>
      <c r="F286" s="38">
        <v>1274</v>
      </c>
      <c r="G286" s="38">
        <v>50</v>
      </c>
      <c r="H286" s="46">
        <v>600</v>
      </c>
      <c r="I286" s="38">
        <v>695</v>
      </c>
      <c r="J286" s="38">
        <v>50</v>
      </c>
      <c r="K286" s="39"/>
      <c r="L286" s="39"/>
      <c r="M286" s="39"/>
      <c r="N286" s="39"/>
      <c r="O286" s="39"/>
      <c r="P286" s="39"/>
      <c r="Q286" s="39"/>
      <c r="R286" s="39"/>
      <c r="S286" s="39"/>
      <c r="T286" s="39"/>
    </row>
    <row r="287" spans="1:20" ht="15.75">
      <c r="A287" s="14">
        <v>49857</v>
      </c>
      <c r="B287" s="47">
        <v>31</v>
      </c>
      <c r="C287" s="38">
        <v>194.20500000000001</v>
      </c>
      <c r="D287" s="38">
        <v>267.46600000000001</v>
      </c>
      <c r="E287" s="44">
        <v>812.32899999999995</v>
      </c>
      <c r="F287" s="38">
        <v>1274</v>
      </c>
      <c r="G287" s="38">
        <v>50</v>
      </c>
      <c r="H287" s="46">
        <v>600</v>
      </c>
      <c r="I287" s="38">
        <v>695</v>
      </c>
      <c r="J287" s="38">
        <v>0</v>
      </c>
      <c r="K287" s="39"/>
      <c r="L287" s="39"/>
      <c r="M287" s="39"/>
      <c r="N287" s="39"/>
      <c r="O287" s="39"/>
      <c r="P287" s="39"/>
      <c r="Q287" s="39"/>
      <c r="R287" s="39"/>
      <c r="S287" s="39"/>
      <c r="T287" s="39"/>
    </row>
    <row r="288" spans="1:20" ht="15.75">
      <c r="A288" s="14">
        <v>49888</v>
      </c>
      <c r="B288" s="47">
        <v>31</v>
      </c>
      <c r="C288" s="38">
        <v>194.20500000000001</v>
      </c>
      <c r="D288" s="38">
        <v>267.46600000000001</v>
      </c>
      <c r="E288" s="44">
        <v>812.32899999999995</v>
      </c>
      <c r="F288" s="38">
        <v>1274</v>
      </c>
      <c r="G288" s="38">
        <v>50</v>
      </c>
      <c r="H288" s="46">
        <v>600</v>
      </c>
      <c r="I288" s="38">
        <v>695</v>
      </c>
      <c r="J288" s="38">
        <v>0</v>
      </c>
      <c r="K288" s="39"/>
      <c r="L288" s="39"/>
      <c r="M288" s="39"/>
      <c r="N288" s="39"/>
      <c r="O288" s="39"/>
      <c r="P288" s="39"/>
      <c r="Q288" s="39"/>
      <c r="R288" s="39"/>
      <c r="S288" s="39"/>
      <c r="T288" s="39"/>
    </row>
    <row r="289" spans="1:20" ht="15.75">
      <c r="A289" s="14">
        <v>49919</v>
      </c>
      <c r="B289" s="47">
        <v>30</v>
      </c>
      <c r="C289" s="38">
        <v>194.20500000000001</v>
      </c>
      <c r="D289" s="38">
        <v>267.46600000000001</v>
      </c>
      <c r="E289" s="44">
        <v>812.32899999999995</v>
      </c>
      <c r="F289" s="38">
        <v>1274</v>
      </c>
      <c r="G289" s="38">
        <v>50</v>
      </c>
      <c r="H289" s="46">
        <v>600</v>
      </c>
      <c r="I289" s="38">
        <v>695</v>
      </c>
      <c r="J289" s="38">
        <v>0</v>
      </c>
      <c r="K289" s="39"/>
      <c r="L289" s="39"/>
      <c r="M289" s="39"/>
      <c r="N289" s="39"/>
      <c r="O289" s="39"/>
      <c r="P289" s="39"/>
      <c r="Q289" s="39"/>
      <c r="R289" s="39"/>
      <c r="S289" s="39"/>
      <c r="T289" s="39"/>
    </row>
    <row r="290" spans="1:20" ht="15.75">
      <c r="A290" s="14">
        <v>49949</v>
      </c>
      <c r="B290" s="47">
        <v>31</v>
      </c>
      <c r="C290" s="38">
        <v>131.881</v>
      </c>
      <c r="D290" s="38">
        <v>277.16699999999997</v>
      </c>
      <c r="E290" s="44">
        <v>829.952</v>
      </c>
      <c r="F290" s="38">
        <v>1239</v>
      </c>
      <c r="G290" s="38">
        <v>75</v>
      </c>
      <c r="H290" s="46">
        <v>600</v>
      </c>
      <c r="I290" s="38">
        <v>695</v>
      </c>
      <c r="J290" s="38">
        <v>0</v>
      </c>
      <c r="K290" s="39"/>
      <c r="L290" s="39"/>
      <c r="M290" s="39"/>
      <c r="N290" s="39"/>
      <c r="O290" s="39"/>
      <c r="P290" s="39"/>
      <c r="Q290" s="39"/>
      <c r="R290" s="39"/>
      <c r="S290" s="39"/>
      <c r="T290" s="39"/>
    </row>
    <row r="291" spans="1:20" ht="15.75">
      <c r="A291" s="14">
        <v>49980</v>
      </c>
      <c r="B291" s="47">
        <v>30</v>
      </c>
      <c r="C291" s="38">
        <v>122.58</v>
      </c>
      <c r="D291" s="38">
        <v>297.94099999999997</v>
      </c>
      <c r="E291" s="44">
        <v>729.47900000000004</v>
      </c>
      <c r="F291" s="38">
        <v>1150</v>
      </c>
      <c r="G291" s="38">
        <v>100</v>
      </c>
      <c r="H291" s="46">
        <v>600</v>
      </c>
      <c r="I291" s="38">
        <v>695</v>
      </c>
      <c r="J291" s="38">
        <v>50</v>
      </c>
      <c r="K291" s="39"/>
      <c r="L291" s="39"/>
      <c r="M291" s="39"/>
      <c r="N291" s="39"/>
      <c r="O291" s="39"/>
      <c r="P291" s="39"/>
      <c r="Q291" s="39"/>
      <c r="R291" s="39"/>
      <c r="S291" s="39"/>
      <c r="T291" s="39"/>
    </row>
    <row r="292" spans="1:20" ht="15.75">
      <c r="A292" s="14">
        <v>50010</v>
      </c>
      <c r="B292" s="47">
        <v>31</v>
      </c>
      <c r="C292" s="38">
        <v>122.58</v>
      </c>
      <c r="D292" s="38">
        <v>297.94099999999997</v>
      </c>
      <c r="E292" s="44">
        <v>729.47900000000004</v>
      </c>
      <c r="F292" s="38">
        <v>1150</v>
      </c>
      <c r="G292" s="38">
        <v>100</v>
      </c>
      <c r="H292" s="46">
        <v>600</v>
      </c>
      <c r="I292" s="38">
        <v>695</v>
      </c>
      <c r="J292" s="38">
        <v>50</v>
      </c>
      <c r="K292" s="39"/>
      <c r="L292" s="39"/>
      <c r="M292" s="39"/>
      <c r="N292" s="39"/>
      <c r="O292" s="39"/>
      <c r="P292" s="39"/>
      <c r="Q292" s="39"/>
      <c r="R292" s="39"/>
      <c r="S292" s="39"/>
      <c r="T292" s="39"/>
    </row>
    <row r="293" spans="1:20" ht="15.75">
      <c r="A293" s="14">
        <v>50041</v>
      </c>
      <c r="B293" s="47">
        <v>31</v>
      </c>
      <c r="C293" s="38">
        <v>122.58</v>
      </c>
      <c r="D293" s="38">
        <v>297.94099999999997</v>
      </c>
      <c r="E293" s="44">
        <v>729.47900000000004</v>
      </c>
      <c r="F293" s="38">
        <v>1150</v>
      </c>
      <c r="G293" s="38">
        <v>100</v>
      </c>
      <c r="H293" s="46">
        <v>600</v>
      </c>
      <c r="I293" s="38">
        <v>695</v>
      </c>
      <c r="J293" s="38">
        <v>50</v>
      </c>
      <c r="K293" s="39"/>
      <c r="L293" s="39"/>
      <c r="M293" s="39"/>
      <c r="N293" s="39"/>
      <c r="O293" s="39"/>
      <c r="P293" s="39"/>
      <c r="Q293" s="39"/>
      <c r="R293" s="39"/>
      <c r="S293" s="39"/>
      <c r="T293" s="39"/>
    </row>
    <row r="294" spans="1:20" ht="15.75">
      <c r="A294" s="14">
        <v>50072</v>
      </c>
      <c r="B294" s="47">
        <v>28</v>
      </c>
      <c r="C294" s="38">
        <v>122.58</v>
      </c>
      <c r="D294" s="38">
        <v>297.94099999999997</v>
      </c>
      <c r="E294" s="44">
        <v>729.47900000000004</v>
      </c>
      <c r="F294" s="38">
        <v>1150</v>
      </c>
      <c r="G294" s="38">
        <v>100</v>
      </c>
      <c r="H294" s="46">
        <v>600</v>
      </c>
      <c r="I294" s="38">
        <v>695</v>
      </c>
      <c r="J294" s="38">
        <v>50</v>
      </c>
      <c r="K294" s="39"/>
      <c r="L294" s="39"/>
      <c r="M294" s="39"/>
      <c r="N294" s="39"/>
      <c r="O294" s="39"/>
      <c r="P294" s="39"/>
      <c r="Q294" s="39"/>
      <c r="R294" s="39"/>
      <c r="S294" s="39"/>
      <c r="T294" s="39"/>
    </row>
    <row r="295" spans="1:20" ht="15.75">
      <c r="A295" s="14">
        <v>50100</v>
      </c>
      <c r="B295" s="47">
        <v>31</v>
      </c>
      <c r="C295" s="38">
        <v>122.58</v>
      </c>
      <c r="D295" s="38">
        <v>297.94099999999997</v>
      </c>
      <c r="E295" s="44">
        <v>729.47900000000004</v>
      </c>
      <c r="F295" s="38">
        <v>1150</v>
      </c>
      <c r="G295" s="38">
        <v>100</v>
      </c>
      <c r="H295" s="46">
        <v>600</v>
      </c>
      <c r="I295" s="38">
        <v>695</v>
      </c>
      <c r="J295" s="38">
        <v>50</v>
      </c>
      <c r="K295" s="39"/>
      <c r="L295" s="39"/>
      <c r="M295" s="39"/>
      <c r="N295" s="39"/>
      <c r="O295" s="39"/>
      <c r="P295" s="39"/>
      <c r="Q295" s="39"/>
      <c r="R295" s="39"/>
      <c r="S295" s="39"/>
      <c r="T295" s="39"/>
    </row>
    <row r="296" spans="1:20" ht="15.75">
      <c r="A296" s="14">
        <v>50131</v>
      </c>
      <c r="B296" s="47">
        <v>30</v>
      </c>
      <c r="C296" s="38">
        <v>141.29300000000001</v>
      </c>
      <c r="D296" s="38">
        <v>267.99299999999999</v>
      </c>
      <c r="E296" s="44">
        <v>829.71400000000006</v>
      </c>
      <c r="F296" s="38">
        <v>1239</v>
      </c>
      <c r="G296" s="38">
        <v>100</v>
      </c>
      <c r="H296" s="46">
        <v>600</v>
      </c>
      <c r="I296" s="38">
        <v>695</v>
      </c>
      <c r="J296" s="38">
        <v>50</v>
      </c>
      <c r="K296" s="39"/>
      <c r="L296" s="39"/>
      <c r="M296" s="39"/>
      <c r="N296" s="39"/>
      <c r="O296" s="39"/>
      <c r="P296" s="39"/>
      <c r="Q296" s="39"/>
      <c r="R296" s="39"/>
      <c r="S296" s="39"/>
      <c r="T296" s="39"/>
    </row>
    <row r="297" spans="1:20" ht="15.75">
      <c r="A297" s="14">
        <v>50161</v>
      </c>
      <c r="B297" s="47">
        <v>31</v>
      </c>
      <c r="C297" s="38">
        <v>194.20500000000001</v>
      </c>
      <c r="D297" s="38">
        <v>267.46600000000001</v>
      </c>
      <c r="E297" s="44">
        <v>812.32899999999995</v>
      </c>
      <c r="F297" s="38">
        <v>1274</v>
      </c>
      <c r="G297" s="38">
        <v>75</v>
      </c>
      <c r="H297" s="46">
        <v>600</v>
      </c>
      <c r="I297" s="38">
        <v>695</v>
      </c>
      <c r="J297" s="38">
        <v>50</v>
      </c>
      <c r="K297" s="39"/>
      <c r="L297" s="39"/>
      <c r="M297" s="39"/>
      <c r="N297" s="39"/>
      <c r="O297" s="39"/>
      <c r="P297" s="39"/>
      <c r="Q297" s="39"/>
      <c r="R297" s="39"/>
      <c r="S297" s="39"/>
      <c r="T297" s="39"/>
    </row>
    <row r="298" spans="1:20" ht="15.75">
      <c r="A298" s="14">
        <v>50192</v>
      </c>
      <c r="B298" s="47">
        <v>30</v>
      </c>
      <c r="C298" s="38">
        <v>194.20500000000001</v>
      </c>
      <c r="D298" s="38">
        <v>267.46600000000001</v>
      </c>
      <c r="E298" s="44">
        <v>812.32899999999995</v>
      </c>
      <c r="F298" s="38">
        <v>1274</v>
      </c>
      <c r="G298" s="38">
        <v>50</v>
      </c>
      <c r="H298" s="46">
        <v>600</v>
      </c>
      <c r="I298" s="38">
        <v>695</v>
      </c>
      <c r="J298" s="38">
        <v>50</v>
      </c>
      <c r="K298" s="39"/>
      <c r="L298" s="39"/>
      <c r="M298" s="39"/>
      <c r="N298" s="39"/>
      <c r="O298" s="39"/>
      <c r="P298" s="39"/>
      <c r="Q298" s="39"/>
      <c r="R298" s="39"/>
      <c r="S298" s="39"/>
      <c r="T298" s="39"/>
    </row>
    <row r="299" spans="1:20" ht="15.75">
      <c r="A299" s="14">
        <v>50222</v>
      </c>
      <c r="B299" s="47">
        <v>31</v>
      </c>
      <c r="C299" s="38">
        <v>194.20500000000001</v>
      </c>
      <c r="D299" s="38">
        <v>267.46600000000001</v>
      </c>
      <c r="E299" s="44">
        <v>812.32899999999995</v>
      </c>
      <c r="F299" s="38">
        <v>1274</v>
      </c>
      <c r="G299" s="38">
        <v>50</v>
      </c>
      <c r="H299" s="46">
        <v>600</v>
      </c>
      <c r="I299" s="38">
        <v>695</v>
      </c>
      <c r="J299" s="38">
        <v>0</v>
      </c>
      <c r="K299" s="39"/>
      <c r="L299" s="39"/>
      <c r="M299" s="39"/>
      <c r="N299" s="39"/>
      <c r="O299" s="39"/>
      <c r="P299" s="39"/>
      <c r="Q299" s="39"/>
      <c r="R299" s="39"/>
      <c r="S299" s="39"/>
      <c r="T299" s="39"/>
    </row>
    <row r="300" spans="1:20" ht="15.75">
      <c r="A300" s="14">
        <v>50253</v>
      </c>
      <c r="B300" s="47">
        <v>31</v>
      </c>
      <c r="C300" s="38">
        <v>194.20500000000001</v>
      </c>
      <c r="D300" s="38">
        <v>267.46600000000001</v>
      </c>
      <c r="E300" s="44">
        <v>812.32899999999995</v>
      </c>
      <c r="F300" s="38">
        <v>1274</v>
      </c>
      <c r="G300" s="38">
        <v>50</v>
      </c>
      <c r="H300" s="46">
        <v>600</v>
      </c>
      <c r="I300" s="38">
        <v>695</v>
      </c>
      <c r="J300" s="38">
        <v>0</v>
      </c>
      <c r="K300" s="39"/>
      <c r="L300" s="39"/>
      <c r="M300" s="39"/>
      <c r="N300" s="39"/>
      <c r="O300" s="39"/>
      <c r="P300" s="39"/>
      <c r="Q300" s="39"/>
      <c r="R300" s="39"/>
      <c r="S300" s="39"/>
      <c r="T300" s="39"/>
    </row>
    <row r="301" spans="1:20" ht="15.75">
      <c r="A301" s="14">
        <v>50284</v>
      </c>
      <c r="B301" s="47">
        <v>30</v>
      </c>
      <c r="C301" s="38">
        <v>194.20500000000001</v>
      </c>
      <c r="D301" s="38">
        <v>267.46600000000001</v>
      </c>
      <c r="E301" s="44">
        <v>812.32899999999995</v>
      </c>
      <c r="F301" s="38">
        <v>1274</v>
      </c>
      <c r="G301" s="38">
        <v>50</v>
      </c>
      <c r="H301" s="46">
        <v>600</v>
      </c>
      <c r="I301" s="38">
        <v>695</v>
      </c>
      <c r="J301" s="38">
        <v>0</v>
      </c>
      <c r="K301" s="39"/>
      <c r="L301" s="39"/>
      <c r="M301" s="39"/>
      <c r="N301" s="39"/>
      <c r="O301" s="39"/>
      <c r="P301" s="39"/>
      <c r="Q301" s="39"/>
      <c r="R301" s="39"/>
      <c r="S301" s="39"/>
      <c r="T301" s="39"/>
    </row>
    <row r="302" spans="1:20" ht="15.75">
      <c r="A302" s="14">
        <v>50314</v>
      </c>
      <c r="B302" s="47">
        <v>31</v>
      </c>
      <c r="C302" s="38">
        <v>131.881</v>
      </c>
      <c r="D302" s="38">
        <v>277.16699999999997</v>
      </c>
      <c r="E302" s="44">
        <v>829.952</v>
      </c>
      <c r="F302" s="38">
        <v>1239</v>
      </c>
      <c r="G302" s="38">
        <v>75</v>
      </c>
      <c r="H302" s="46">
        <v>600</v>
      </c>
      <c r="I302" s="38">
        <v>695</v>
      </c>
      <c r="J302" s="38">
        <v>0</v>
      </c>
      <c r="K302" s="39"/>
      <c r="L302" s="39"/>
      <c r="M302" s="39"/>
      <c r="N302" s="39"/>
      <c r="O302" s="39"/>
      <c r="P302" s="39"/>
      <c r="Q302" s="39"/>
      <c r="R302" s="39"/>
      <c r="S302" s="39"/>
      <c r="T302" s="39"/>
    </row>
    <row r="303" spans="1:20" ht="15.75">
      <c r="A303" s="14">
        <v>50345</v>
      </c>
      <c r="B303" s="47">
        <v>30</v>
      </c>
      <c r="C303" s="38">
        <v>122.58</v>
      </c>
      <c r="D303" s="38">
        <v>297.94099999999997</v>
      </c>
      <c r="E303" s="44">
        <v>729.47900000000004</v>
      </c>
      <c r="F303" s="38">
        <v>1150</v>
      </c>
      <c r="G303" s="38">
        <v>100</v>
      </c>
      <c r="H303" s="46">
        <v>600</v>
      </c>
      <c r="I303" s="38">
        <v>695</v>
      </c>
      <c r="J303" s="38">
        <v>50</v>
      </c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ht="15.75">
      <c r="A304" s="14">
        <v>50375</v>
      </c>
      <c r="B304" s="47">
        <v>31</v>
      </c>
      <c r="C304" s="38">
        <v>122.58</v>
      </c>
      <c r="D304" s="38">
        <v>297.94099999999997</v>
      </c>
      <c r="E304" s="44">
        <v>729.47900000000004</v>
      </c>
      <c r="F304" s="38">
        <v>1150</v>
      </c>
      <c r="G304" s="38">
        <v>100</v>
      </c>
      <c r="H304" s="46">
        <v>600</v>
      </c>
      <c r="I304" s="38">
        <v>695</v>
      </c>
      <c r="J304" s="38">
        <v>50</v>
      </c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ht="15.75">
      <c r="A305" s="13">
        <v>50436</v>
      </c>
      <c r="B305" s="47">
        <v>31</v>
      </c>
      <c r="C305" s="38">
        <v>122.58</v>
      </c>
      <c r="D305" s="38">
        <v>297.94099999999997</v>
      </c>
      <c r="E305" s="44">
        <v>729.47900000000004</v>
      </c>
      <c r="F305" s="38">
        <v>1150</v>
      </c>
      <c r="G305" s="38">
        <v>100</v>
      </c>
      <c r="H305" s="46">
        <v>600</v>
      </c>
      <c r="I305" s="38">
        <v>695</v>
      </c>
      <c r="J305" s="38">
        <v>50</v>
      </c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ht="15.75">
      <c r="A306" s="13">
        <v>50464</v>
      </c>
      <c r="B306" s="47">
        <v>28</v>
      </c>
      <c r="C306" s="38">
        <v>122.58</v>
      </c>
      <c r="D306" s="38">
        <v>297.94099999999997</v>
      </c>
      <c r="E306" s="44">
        <v>729.47900000000004</v>
      </c>
      <c r="F306" s="38">
        <v>1150</v>
      </c>
      <c r="G306" s="38">
        <v>100</v>
      </c>
      <c r="H306" s="46">
        <v>600</v>
      </c>
      <c r="I306" s="38">
        <v>695</v>
      </c>
      <c r="J306" s="38">
        <v>50</v>
      </c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ht="15.75">
      <c r="A307" s="13">
        <v>50495</v>
      </c>
      <c r="B307" s="47">
        <v>31</v>
      </c>
      <c r="C307" s="38">
        <v>122.58</v>
      </c>
      <c r="D307" s="38">
        <v>297.94099999999997</v>
      </c>
      <c r="E307" s="44">
        <v>729.47900000000004</v>
      </c>
      <c r="F307" s="38">
        <v>1150</v>
      </c>
      <c r="G307" s="38">
        <v>100</v>
      </c>
      <c r="H307" s="46">
        <v>600</v>
      </c>
      <c r="I307" s="38">
        <v>695</v>
      </c>
      <c r="J307" s="38">
        <v>50</v>
      </c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  <row r="308" spans="1:20" ht="15.75">
      <c r="A308" s="13">
        <v>50525</v>
      </c>
      <c r="B308" s="47">
        <v>30</v>
      </c>
      <c r="C308" s="38">
        <v>141.29300000000001</v>
      </c>
      <c r="D308" s="38">
        <v>267.99299999999999</v>
      </c>
      <c r="E308" s="44">
        <v>829.71400000000006</v>
      </c>
      <c r="F308" s="38">
        <v>1239</v>
      </c>
      <c r="G308" s="38">
        <v>100</v>
      </c>
      <c r="H308" s="46">
        <v>600</v>
      </c>
      <c r="I308" s="38">
        <v>695</v>
      </c>
      <c r="J308" s="38">
        <v>50</v>
      </c>
      <c r="K308" s="39"/>
      <c r="L308" s="39"/>
      <c r="M308" s="39"/>
      <c r="N308" s="39"/>
      <c r="O308" s="39"/>
      <c r="P308" s="39"/>
      <c r="Q308" s="39"/>
      <c r="R308" s="39"/>
      <c r="S308" s="39"/>
      <c r="T308" s="39"/>
    </row>
    <row r="309" spans="1:20" ht="15.75">
      <c r="A309" s="13">
        <v>50556</v>
      </c>
      <c r="B309" s="47">
        <v>31</v>
      </c>
      <c r="C309" s="38">
        <v>194.20500000000001</v>
      </c>
      <c r="D309" s="38">
        <v>267.46600000000001</v>
      </c>
      <c r="E309" s="44">
        <v>812.32899999999995</v>
      </c>
      <c r="F309" s="38">
        <v>1274</v>
      </c>
      <c r="G309" s="38">
        <v>75</v>
      </c>
      <c r="H309" s="46">
        <v>600</v>
      </c>
      <c r="I309" s="38">
        <v>695</v>
      </c>
      <c r="J309" s="38">
        <v>50</v>
      </c>
      <c r="K309" s="39"/>
      <c r="L309" s="39"/>
      <c r="M309" s="39"/>
      <c r="N309" s="39"/>
      <c r="O309" s="39"/>
      <c r="P309" s="39"/>
      <c r="Q309" s="39"/>
      <c r="R309" s="39"/>
      <c r="S309" s="39"/>
      <c r="T309" s="39"/>
    </row>
    <row r="310" spans="1:20" ht="15.75">
      <c r="A310" s="13">
        <v>50586</v>
      </c>
      <c r="B310" s="47">
        <v>30</v>
      </c>
      <c r="C310" s="38">
        <v>194.20500000000001</v>
      </c>
      <c r="D310" s="38">
        <v>267.46600000000001</v>
      </c>
      <c r="E310" s="44">
        <v>812.32899999999995</v>
      </c>
      <c r="F310" s="38">
        <v>1274</v>
      </c>
      <c r="G310" s="38">
        <v>50</v>
      </c>
      <c r="H310" s="46">
        <v>600</v>
      </c>
      <c r="I310" s="38">
        <v>695</v>
      </c>
      <c r="J310" s="38">
        <v>50</v>
      </c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1:20" ht="15.75">
      <c r="A311" s="13">
        <v>50617</v>
      </c>
      <c r="B311" s="47">
        <v>31</v>
      </c>
      <c r="C311" s="38">
        <v>194.20500000000001</v>
      </c>
      <c r="D311" s="38">
        <v>267.46600000000001</v>
      </c>
      <c r="E311" s="44">
        <v>812.32899999999995</v>
      </c>
      <c r="F311" s="38">
        <v>1274</v>
      </c>
      <c r="G311" s="38">
        <v>50</v>
      </c>
      <c r="H311" s="46">
        <v>600</v>
      </c>
      <c r="I311" s="38">
        <v>695</v>
      </c>
      <c r="J311" s="38">
        <v>0</v>
      </c>
      <c r="K311" s="39"/>
      <c r="L311" s="39"/>
      <c r="M311" s="39"/>
      <c r="N311" s="39"/>
      <c r="O311" s="39"/>
      <c r="P311" s="39"/>
      <c r="Q311" s="39"/>
      <c r="R311" s="39"/>
      <c r="S311" s="39"/>
      <c r="T311" s="39"/>
    </row>
    <row r="312" spans="1:20" ht="15.75">
      <c r="A312" s="13">
        <v>50648</v>
      </c>
      <c r="B312" s="47">
        <v>31</v>
      </c>
      <c r="C312" s="38">
        <v>194.20500000000001</v>
      </c>
      <c r="D312" s="38">
        <v>267.46600000000001</v>
      </c>
      <c r="E312" s="44">
        <v>812.32899999999995</v>
      </c>
      <c r="F312" s="38">
        <v>1274</v>
      </c>
      <c r="G312" s="38">
        <v>50</v>
      </c>
      <c r="H312" s="46">
        <v>600</v>
      </c>
      <c r="I312" s="38">
        <v>695</v>
      </c>
      <c r="J312" s="38">
        <v>0</v>
      </c>
      <c r="K312" s="39"/>
      <c r="L312" s="39"/>
      <c r="M312" s="39"/>
      <c r="N312" s="39"/>
      <c r="O312" s="39"/>
      <c r="P312" s="39"/>
      <c r="Q312" s="39"/>
      <c r="R312" s="39"/>
      <c r="S312" s="39"/>
      <c r="T312" s="39"/>
    </row>
    <row r="313" spans="1:20" ht="15.75">
      <c r="A313" s="13">
        <v>50678</v>
      </c>
      <c r="B313" s="47">
        <v>30</v>
      </c>
      <c r="C313" s="38">
        <v>194.20500000000001</v>
      </c>
      <c r="D313" s="38">
        <v>267.46600000000001</v>
      </c>
      <c r="E313" s="44">
        <v>812.32899999999995</v>
      </c>
      <c r="F313" s="38">
        <v>1274</v>
      </c>
      <c r="G313" s="38">
        <v>50</v>
      </c>
      <c r="H313" s="46">
        <v>600</v>
      </c>
      <c r="I313" s="38">
        <v>695</v>
      </c>
      <c r="J313" s="38">
        <v>0</v>
      </c>
      <c r="K313" s="39"/>
      <c r="L313" s="39"/>
      <c r="M313" s="39"/>
      <c r="N313" s="39"/>
      <c r="O313" s="39"/>
      <c r="P313" s="39"/>
      <c r="Q313" s="39"/>
      <c r="R313" s="39"/>
      <c r="S313" s="39"/>
      <c r="T313" s="39"/>
    </row>
    <row r="314" spans="1:20" ht="15.75">
      <c r="A314" s="13">
        <v>50709</v>
      </c>
      <c r="B314" s="47">
        <v>31</v>
      </c>
      <c r="C314" s="38">
        <v>131.881</v>
      </c>
      <c r="D314" s="38">
        <v>277.16699999999997</v>
      </c>
      <c r="E314" s="44">
        <v>829.952</v>
      </c>
      <c r="F314" s="38">
        <v>1239</v>
      </c>
      <c r="G314" s="38">
        <v>75</v>
      </c>
      <c r="H314" s="46">
        <v>600</v>
      </c>
      <c r="I314" s="38">
        <v>695</v>
      </c>
      <c r="J314" s="38">
        <v>0</v>
      </c>
      <c r="K314" s="39"/>
      <c r="L314" s="39"/>
      <c r="M314" s="39"/>
      <c r="N314" s="39"/>
      <c r="O314" s="39"/>
      <c r="P314" s="39"/>
      <c r="Q314" s="39"/>
      <c r="R314" s="39"/>
      <c r="S314" s="39"/>
      <c r="T314" s="39"/>
    </row>
    <row r="315" spans="1:20" ht="15.75">
      <c r="A315" s="13">
        <v>50739</v>
      </c>
      <c r="B315" s="47">
        <v>30</v>
      </c>
      <c r="C315" s="38">
        <v>122.58</v>
      </c>
      <c r="D315" s="38">
        <v>297.94099999999997</v>
      </c>
      <c r="E315" s="44">
        <v>729.47900000000004</v>
      </c>
      <c r="F315" s="38">
        <v>1150</v>
      </c>
      <c r="G315" s="38">
        <v>100</v>
      </c>
      <c r="H315" s="46">
        <v>600</v>
      </c>
      <c r="I315" s="38">
        <v>695</v>
      </c>
      <c r="J315" s="38">
        <v>50</v>
      </c>
      <c r="K315" s="39"/>
      <c r="L315" s="39"/>
      <c r="M315" s="39"/>
      <c r="N315" s="39"/>
      <c r="O315" s="39"/>
      <c r="P315" s="39"/>
      <c r="Q315" s="39"/>
      <c r="R315" s="39"/>
      <c r="S315" s="39"/>
      <c r="T315" s="39"/>
    </row>
    <row r="316" spans="1:20" ht="15.75">
      <c r="A316" s="13">
        <v>50770</v>
      </c>
      <c r="B316" s="47">
        <v>31</v>
      </c>
      <c r="C316" s="38">
        <v>122.58</v>
      </c>
      <c r="D316" s="38">
        <v>297.94099999999997</v>
      </c>
      <c r="E316" s="44">
        <v>729.47900000000004</v>
      </c>
      <c r="F316" s="38">
        <v>1150</v>
      </c>
      <c r="G316" s="38">
        <v>100</v>
      </c>
      <c r="H316" s="46">
        <v>600</v>
      </c>
      <c r="I316" s="38">
        <v>695</v>
      </c>
      <c r="J316" s="38">
        <v>50</v>
      </c>
      <c r="K316" s="39"/>
      <c r="L316" s="39"/>
      <c r="M316" s="39"/>
      <c r="N316" s="39"/>
      <c r="O316" s="39"/>
      <c r="P316" s="39"/>
      <c r="Q316" s="39"/>
      <c r="R316" s="39"/>
      <c r="S316" s="39"/>
      <c r="T316" s="39"/>
    </row>
    <row r="317" spans="1:20" ht="15.75">
      <c r="A317" s="13">
        <v>50801</v>
      </c>
      <c r="B317" s="47">
        <v>31</v>
      </c>
      <c r="C317" s="38">
        <v>122.58</v>
      </c>
      <c r="D317" s="38">
        <v>297.94099999999997</v>
      </c>
      <c r="E317" s="44">
        <v>729.47900000000004</v>
      </c>
      <c r="F317" s="38">
        <v>1150</v>
      </c>
      <c r="G317" s="38">
        <v>100</v>
      </c>
      <c r="H317" s="46">
        <v>600</v>
      </c>
      <c r="I317" s="38">
        <v>695</v>
      </c>
      <c r="J317" s="38">
        <v>50</v>
      </c>
      <c r="K317" s="39"/>
      <c r="L317" s="39"/>
      <c r="M317" s="39"/>
      <c r="N317" s="39"/>
      <c r="O317" s="39"/>
      <c r="P317" s="39"/>
      <c r="Q317" s="39"/>
      <c r="R317" s="39"/>
      <c r="S317" s="39"/>
      <c r="T317" s="39"/>
    </row>
    <row r="318" spans="1:20" ht="15.75">
      <c r="A318" s="13">
        <v>50829</v>
      </c>
      <c r="B318" s="47">
        <v>28</v>
      </c>
      <c r="C318" s="38">
        <v>122.58</v>
      </c>
      <c r="D318" s="38">
        <v>297.94099999999997</v>
      </c>
      <c r="E318" s="44">
        <v>729.47900000000004</v>
      </c>
      <c r="F318" s="38">
        <v>1150</v>
      </c>
      <c r="G318" s="38">
        <v>100</v>
      </c>
      <c r="H318" s="46">
        <v>600</v>
      </c>
      <c r="I318" s="38">
        <v>695</v>
      </c>
      <c r="J318" s="38">
        <v>50</v>
      </c>
      <c r="K318" s="39"/>
      <c r="L318" s="39"/>
      <c r="M318" s="39"/>
      <c r="N318" s="39"/>
      <c r="O318" s="39"/>
      <c r="P318" s="39"/>
      <c r="Q318" s="39"/>
      <c r="R318" s="39"/>
      <c r="S318" s="39"/>
      <c r="T318" s="39"/>
    </row>
    <row r="319" spans="1:20" ht="15.75">
      <c r="A319" s="13">
        <v>50860</v>
      </c>
      <c r="B319" s="47">
        <v>31</v>
      </c>
      <c r="C319" s="38">
        <v>122.58</v>
      </c>
      <c r="D319" s="38">
        <v>297.94099999999997</v>
      </c>
      <c r="E319" s="44">
        <v>729.47900000000004</v>
      </c>
      <c r="F319" s="38">
        <v>1150</v>
      </c>
      <c r="G319" s="38">
        <v>100</v>
      </c>
      <c r="H319" s="46">
        <v>600</v>
      </c>
      <c r="I319" s="38">
        <v>695</v>
      </c>
      <c r="J319" s="38">
        <v>50</v>
      </c>
      <c r="K319" s="39"/>
      <c r="L319" s="39"/>
      <c r="M319" s="39"/>
      <c r="N319" s="39"/>
      <c r="O319" s="39"/>
      <c r="P319" s="39"/>
      <c r="Q319" s="39"/>
      <c r="R319" s="39"/>
      <c r="S319" s="39"/>
      <c r="T319" s="39"/>
    </row>
    <row r="320" spans="1:20" ht="15.75">
      <c r="A320" s="13">
        <v>50890</v>
      </c>
      <c r="B320" s="47">
        <v>30</v>
      </c>
      <c r="C320" s="38">
        <v>141.29300000000001</v>
      </c>
      <c r="D320" s="38">
        <v>267.99299999999999</v>
      </c>
      <c r="E320" s="44">
        <v>829.71400000000006</v>
      </c>
      <c r="F320" s="38">
        <v>1239</v>
      </c>
      <c r="G320" s="38">
        <v>100</v>
      </c>
      <c r="H320" s="46">
        <v>600</v>
      </c>
      <c r="I320" s="38">
        <v>695</v>
      </c>
      <c r="J320" s="38">
        <v>50</v>
      </c>
      <c r="K320" s="39"/>
      <c r="L320" s="39"/>
      <c r="M320" s="39"/>
      <c r="N320" s="39"/>
      <c r="O320" s="39"/>
      <c r="P320" s="39"/>
      <c r="Q320" s="39"/>
      <c r="R320" s="39"/>
      <c r="S320" s="39"/>
      <c r="T320" s="39"/>
    </row>
    <row r="321" spans="1:20" ht="15.75">
      <c r="A321" s="13">
        <v>50921</v>
      </c>
      <c r="B321" s="47">
        <v>31</v>
      </c>
      <c r="C321" s="38">
        <v>194.20500000000001</v>
      </c>
      <c r="D321" s="38">
        <v>267.46600000000001</v>
      </c>
      <c r="E321" s="44">
        <v>812.32899999999995</v>
      </c>
      <c r="F321" s="38">
        <v>1274</v>
      </c>
      <c r="G321" s="38">
        <v>75</v>
      </c>
      <c r="H321" s="46">
        <v>600</v>
      </c>
      <c r="I321" s="38">
        <v>695</v>
      </c>
      <c r="J321" s="38">
        <v>50</v>
      </c>
      <c r="K321" s="39"/>
      <c r="L321" s="39"/>
      <c r="M321" s="39"/>
      <c r="N321" s="39"/>
      <c r="O321" s="39"/>
      <c r="P321" s="39"/>
      <c r="Q321" s="39"/>
      <c r="R321" s="39"/>
      <c r="S321" s="39"/>
      <c r="T321" s="39"/>
    </row>
    <row r="322" spans="1:20" ht="15.75">
      <c r="A322" s="13">
        <v>50951</v>
      </c>
      <c r="B322" s="47">
        <v>30</v>
      </c>
      <c r="C322" s="38">
        <v>194.20500000000001</v>
      </c>
      <c r="D322" s="38">
        <v>267.46600000000001</v>
      </c>
      <c r="E322" s="44">
        <v>812.32899999999995</v>
      </c>
      <c r="F322" s="38">
        <v>1274</v>
      </c>
      <c r="G322" s="38">
        <v>50</v>
      </c>
      <c r="H322" s="46">
        <v>600</v>
      </c>
      <c r="I322" s="38">
        <v>695</v>
      </c>
      <c r="J322" s="38">
        <v>50</v>
      </c>
      <c r="K322" s="39"/>
      <c r="L322" s="39"/>
      <c r="M322" s="39"/>
      <c r="N322" s="39"/>
      <c r="O322" s="39"/>
      <c r="P322" s="39"/>
      <c r="Q322" s="39"/>
      <c r="R322" s="39"/>
      <c r="S322" s="39"/>
      <c r="T322" s="39"/>
    </row>
    <row r="323" spans="1:20" ht="15.75">
      <c r="A323" s="13">
        <v>50982</v>
      </c>
      <c r="B323" s="47">
        <v>31</v>
      </c>
      <c r="C323" s="38">
        <v>194.20500000000001</v>
      </c>
      <c r="D323" s="38">
        <v>267.46600000000001</v>
      </c>
      <c r="E323" s="44">
        <v>812.32899999999995</v>
      </c>
      <c r="F323" s="38">
        <v>1274</v>
      </c>
      <c r="G323" s="38">
        <v>50</v>
      </c>
      <c r="H323" s="46">
        <v>600</v>
      </c>
      <c r="I323" s="38">
        <v>695</v>
      </c>
      <c r="J323" s="38">
        <v>0</v>
      </c>
      <c r="K323" s="39"/>
      <c r="L323" s="39"/>
      <c r="M323" s="39"/>
      <c r="N323" s="39"/>
      <c r="O323" s="39"/>
      <c r="P323" s="39"/>
      <c r="Q323" s="39"/>
      <c r="R323" s="39"/>
      <c r="S323" s="39"/>
      <c r="T323" s="39"/>
    </row>
    <row r="324" spans="1:20" ht="15.75">
      <c r="A324" s="13">
        <v>51013</v>
      </c>
      <c r="B324" s="47">
        <v>31</v>
      </c>
      <c r="C324" s="38">
        <v>194.20500000000001</v>
      </c>
      <c r="D324" s="38">
        <v>267.46600000000001</v>
      </c>
      <c r="E324" s="44">
        <v>812.32899999999995</v>
      </c>
      <c r="F324" s="38">
        <v>1274</v>
      </c>
      <c r="G324" s="38">
        <v>50</v>
      </c>
      <c r="H324" s="46">
        <v>600</v>
      </c>
      <c r="I324" s="38">
        <v>695</v>
      </c>
      <c r="J324" s="38">
        <v>0</v>
      </c>
      <c r="K324" s="39"/>
      <c r="L324" s="39"/>
      <c r="M324" s="39"/>
      <c r="N324" s="39"/>
      <c r="O324" s="39"/>
      <c r="P324" s="39"/>
      <c r="Q324" s="39"/>
      <c r="R324" s="39"/>
      <c r="S324" s="39"/>
      <c r="T324" s="39"/>
    </row>
    <row r="325" spans="1:20" ht="15.75">
      <c r="A325" s="13">
        <v>51043</v>
      </c>
      <c r="B325" s="47">
        <v>30</v>
      </c>
      <c r="C325" s="38">
        <v>194.20500000000001</v>
      </c>
      <c r="D325" s="38">
        <v>267.46600000000001</v>
      </c>
      <c r="E325" s="44">
        <v>812.32899999999995</v>
      </c>
      <c r="F325" s="38">
        <v>1274</v>
      </c>
      <c r="G325" s="38">
        <v>50</v>
      </c>
      <c r="H325" s="46">
        <v>600</v>
      </c>
      <c r="I325" s="38">
        <v>695</v>
      </c>
      <c r="J325" s="38">
        <v>0</v>
      </c>
      <c r="K325" s="39"/>
      <c r="L325" s="39"/>
      <c r="M325" s="39"/>
      <c r="N325" s="39"/>
      <c r="O325" s="39"/>
      <c r="P325" s="39"/>
      <c r="Q325" s="39"/>
      <c r="R325" s="39"/>
      <c r="S325" s="39"/>
      <c r="T325" s="39"/>
    </row>
    <row r="326" spans="1:20" ht="15.75">
      <c r="A326" s="13">
        <v>51074</v>
      </c>
      <c r="B326" s="47">
        <v>31</v>
      </c>
      <c r="C326" s="38">
        <v>131.881</v>
      </c>
      <c r="D326" s="38">
        <v>277.16699999999997</v>
      </c>
      <c r="E326" s="44">
        <v>829.952</v>
      </c>
      <c r="F326" s="38">
        <v>1239</v>
      </c>
      <c r="G326" s="38">
        <v>75</v>
      </c>
      <c r="H326" s="46">
        <v>600</v>
      </c>
      <c r="I326" s="38">
        <v>695</v>
      </c>
      <c r="J326" s="38">
        <v>0</v>
      </c>
      <c r="K326" s="39"/>
      <c r="L326" s="39"/>
      <c r="M326" s="39"/>
      <c r="N326" s="39"/>
      <c r="O326" s="39"/>
      <c r="P326" s="39"/>
      <c r="Q326" s="39"/>
      <c r="R326" s="39"/>
      <c r="S326" s="39"/>
      <c r="T326" s="39"/>
    </row>
    <row r="327" spans="1:20" ht="15.75">
      <c r="A327" s="13">
        <v>51104</v>
      </c>
      <c r="B327" s="47">
        <v>30</v>
      </c>
      <c r="C327" s="38">
        <v>122.58</v>
      </c>
      <c r="D327" s="38">
        <v>297.94099999999997</v>
      </c>
      <c r="E327" s="44">
        <v>729.47900000000004</v>
      </c>
      <c r="F327" s="38">
        <v>1150</v>
      </c>
      <c r="G327" s="38">
        <v>100</v>
      </c>
      <c r="H327" s="46">
        <v>600</v>
      </c>
      <c r="I327" s="38">
        <v>695</v>
      </c>
      <c r="J327" s="38">
        <v>50</v>
      </c>
      <c r="K327" s="39"/>
      <c r="L327" s="39"/>
      <c r="M327" s="39"/>
      <c r="N327" s="39"/>
      <c r="O327" s="39"/>
      <c r="P327" s="39"/>
      <c r="Q327" s="39"/>
      <c r="R327" s="39"/>
      <c r="S327" s="39"/>
      <c r="T327" s="39"/>
    </row>
    <row r="328" spans="1:20" ht="15.75">
      <c r="A328" s="13">
        <v>51135</v>
      </c>
      <c r="B328" s="47">
        <v>31</v>
      </c>
      <c r="C328" s="38">
        <v>122.58</v>
      </c>
      <c r="D328" s="38">
        <v>297.94099999999997</v>
      </c>
      <c r="E328" s="44">
        <v>729.47900000000004</v>
      </c>
      <c r="F328" s="38">
        <v>1150</v>
      </c>
      <c r="G328" s="38">
        <v>100</v>
      </c>
      <c r="H328" s="46">
        <v>600</v>
      </c>
      <c r="I328" s="38">
        <v>695</v>
      </c>
      <c r="J328" s="38">
        <v>50</v>
      </c>
      <c r="K328" s="39"/>
      <c r="L328" s="39"/>
      <c r="M328" s="39"/>
      <c r="N328" s="39"/>
      <c r="O328" s="39"/>
      <c r="P328" s="39"/>
      <c r="Q328" s="39"/>
      <c r="R328" s="39"/>
      <c r="S328" s="39"/>
      <c r="T328" s="39"/>
    </row>
    <row r="329" spans="1:20" ht="15.75">
      <c r="A329" s="13">
        <v>51166</v>
      </c>
      <c r="B329" s="47">
        <v>31</v>
      </c>
      <c r="C329" s="38">
        <v>122.58</v>
      </c>
      <c r="D329" s="38">
        <v>297.94099999999997</v>
      </c>
      <c r="E329" s="44">
        <v>729.47900000000004</v>
      </c>
      <c r="F329" s="38">
        <v>1150</v>
      </c>
      <c r="G329" s="38">
        <v>100</v>
      </c>
      <c r="H329" s="46">
        <v>600</v>
      </c>
      <c r="I329" s="38">
        <v>695</v>
      </c>
      <c r="J329" s="38">
        <v>50</v>
      </c>
      <c r="K329" s="39"/>
      <c r="L329" s="39"/>
      <c r="M329" s="39"/>
      <c r="N329" s="39"/>
      <c r="O329" s="39"/>
      <c r="P329" s="39"/>
      <c r="Q329" s="39"/>
      <c r="R329" s="39"/>
      <c r="S329" s="39"/>
      <c r="T329" s="39"/>
    </row>
    <row r="330" spans="1:20" ht="15.75">
      <c r="A330" s="13">
        <v>51194</v>
      </c>
      <c r="B330" s="47">
        <v>29</v>
      </c>
      <c r="C330" s="38">
        <v>122.58</v>
      </c>
      <c r="D330" s="38">
        <v>297.94099999999997</v>
      </c>
      <c r="E330" s="44">
        <v>729.47900000000004</v>
      </c>
      <c r="F330" s="38">
        <v>1150</v>
      </c>
      <c r="G330" s="38">
        <v>100</v>
      </c>
      <c r="H330" s="46">
        <v>600</v>
      </c>
      <c r="I330" s="38">
        <v>695</v>
      </c>
      <c r="J330" s="38">
        <v>50</v>
      </c>
      <c r="K330" s="39"/>
      <c r="L330" s="39"/>
      <c r="M330" s="39"/>
      <c r="N330" s="39"/>
      <c r="O330" s="39"/>
      <c r="P330" s="39"/>
      <c r="Q330" s="39"/>
      <c r="R330" s="39"/>
      <c r="S330" s="39"/>
      <c r="T330" s="39"/>
    </row>
    <row r="331" spans="1:20" ht="15.75">
      <c r="A331" s="13">
        <v>51226</v>
      </c>
      <c r="B331" s="47">
        <v>31</v>
      </c>
      <c r="C331" s="38">
        <v>122.58</v>
      </c>
      <c r="D331" s="38">
        <v>297.94099999999997</v>
      </c>
      <c r="E331" s="44">
        <v>729.47900000000004</v>
      </c>
      <c r="F331" s="38">
        <v>1150</v>
      </c>
      <c r="G331" s="38">
        <v>100</v>
      </c>
      <c r="H331" s="46">
        <v>600</v>
      </c>
      <c r="I331" s="38">
        <v>695</v>
      </c>
      <c r="J331" s="38">
        <v>50</v>
      </c>
      <c r="K331" s="39"/>
      <c r="L331" s="39"/>
      <c r="M331" s="39"/>
      <c r="N331" s="39"/>
      <c r="O331" s="39"/>
      <c r="P331" s="39"/>
      <c r="Q331" s="39"/>
      <c r="R331" s="39"/>
      <c r="S331" s="39"/>
      <c r="T331" s="39"/>
    </row>
    <row r="332" spans="1:20" ht="15.75">
      <c r="A332" s="13">
        <v>51256</v>
      </c>
      <c r="B332" s="47">
        <v>30</v>
      </c>
      <c r="C332" s="38">
        <v>141.29300000000001</v>
      </c>
      <c r="D332" s="38">
        <v>267.99299999999999</v>
      </c>
      <c r="E332" s="44">
        <v>829.71400000000006</v>
      </c>
      <c r="F332" s="38">
        <v>1239</v>
      </c>
      <c r="G332" s="38">
        <v>100</v>
      </c>
      <c r="H332" s="46">
        <v>600</v>
      </c>
      <c r="I332" s="38">
        <v>695</v>
      </c>
      <c r="J332" s="38">
        <v>50</v>
      </c>
      <c r="K332" s="39"/>
      <c r="L332" s="39"/>
      <c r="M332" s="39"/>
      <c r="N332" s="39"/>
      <c r="O332" s="39"/>
      <c r="P332" s="39"/>
      <c r="Q332" s="39"/>
      <c r="R332" s="39"/>
      <c r="S332" s="39"/>
      <c r="T332" s="39"/>
    </row>
    <row r="333" spans="1:20" ht="15.75">
      <c r="A333" s="13">
        <v>51287</v>
      </c>
      <c r="B333" s="47">
        <v>31</v>
      </c>
      <c r="C333" s="38">
        <v>194.20500000000001</v>
      </c>
      <c r="D333" s="38">
        <v>267.46600000000001</v>
      </c>
      <c r="E333" s="44">
        <v>812.32899999999995</v>
      </c>
      <c r="F333" s="38">
        <v>1274</v>
      </c>
      <c r="G333" s="38">
        <v>75</v>
      </c>
      <c r="H333" s="46">
        <v>600</v>
      </c>
      <c r="I333" s="38">
        <v>695</v>
      </c>
      <c r="J333" s="38">
        <v>50</v>
      </c>
      <c r="K333" s="39"/>
      <c r="L333" s="39"/>
      <c r="M333" s="39"/>
      <c r="N333" s="39"/>
      <c r="O333" s="39"/>
      <c r="P333" s="39"/>
      <c r="Q333" s="39"/>
      <c r="R333" s="39"/>
      <c r="S333" s="39"/>
      <c r="T333" s="39"/>
    </row>
    <row r="334" spans="1:20" ht="15.75">
      <c r="A334" s="13">
        <v>51317</v>
      </c>
      <c r="B334" s="47">
        <v>30</v>
      </c>
      <c r="C334" s="38">
        <v>194.20500000000001</v>
      </c>
      <c r="D334" s="38">
        <v>267.46600000000001</v>
      </c>
      <c r="E334" s="44">
        <v>812.32899999999995</v>
      </c>
      <c r="F334" s="38">
        <v>1274</v>
      </c>
      <c r="G334" s="38">
        <v>50</v>
      </c>
      <c r="H334" s="46">
        <v>600</v>
      </c>
      <c r="I334" s="38">
        <v>695</v>
      </c>
      <c r="J334" s="38">
        <v>50</v>
      </c>
      <c r="K334" s="39"/>
      <c r="L334" s="39"/>
      <c r="M334" s="39"/>
      <c r="N334" s="39"/>
      <c r="O334" s="39"/>
      <c r="P334" s="39"/>
      <c r="Q334" s="39"/>
      <c r="R334" s="39"/>
      <c r="S334" s="39"/>
      <c r="T334" s="39"/>
    </row>
    <row r="335" spans="1:20" ht="15.75">
      <c r="A335" s="13">
        <v>51348</v>
      </c>
      <c r="B335" s="47">
        <v>31</v>
      </c>
      <c r="C335" s="38">
        <v>194.20500000000001</v>
      </c>
      <c r="D335" s="38">
        <v>267.46600000000001</v>
      </c>
      <c r="E335" s="44">
        <v>812.32899999999995</v>
      </c>
      <c r="F335" s="38">
        <v>1274</v>
      </c>
      <c r="G335" s="38">
        <v>50</v>
      </c>
      <c r="H335" s="46">
        <v>600</v>
      </c>
      <c r="I335" s="38">
        <v>695</v>
      </c>
      <c r="J335" s="38">
        <v>0</v>
      </c>
      <c r="K335" s="39"/>
      <c r="L335" s="39"/>
      <c r="M335" s="39"/>
      <c r="N335" s="39"/>
      <c r="O335" s="39"/>
      <c r="P335" s="39"/>
      <c r="Q335" s="39"/>
      <c r="R335" s="39"/>
      <c r="S335" s="39"/>
      <c r="T335" s="39"/>
    </row>
    <row r="336" spans="1:20" ht="15.75">
      <c r="A336" s="13">
        <v>51379</v>
      </c>
      <c r="B336" s="47">
        <v>31</v>
      </c>
      <c r="C336" s="38">
        <v>194.20500000000001</v>
      </c>
      <c r="D336" s="38">
        <v>267.46600000000001</v>
      </c>
      <c r="E336" s="44">
        <v>812.32899999999995</v>
      </c>
      <c r="F336" s="38">
        <v>1274</v>
      </c>
      <c r="G336" s="38">
        <v>50</v>
      </c>
      <c r="H336" s="46">
        <v>600</v>
      </c>
      <c r="I336" s="38">
        <v>695</v>
      </c>
      <c r="J336" s="38">
        <v>0</v>
      </c>
      <c r="K336" s="39"/>
      <c r="L336" s="39"/>
      <c r="M336" s="39"/>
      <c r="N336" s="39"/>
      <c r="O336" s="39"/>
      <c r="P336" s="39"/>
      <c r="Q336" s="39"/>
      <c r="R336" s="39"/>
      <c r="S336" s="39"/>
      <c r="T336" s="39"/>
    </row>
    <row r="337" spans="1:20" ht="15.75">
      <c r="A337" s="13">
        <v>51409</v>
      </c>
      <c r="B337" s="47">
        <v>30</v>
      </c>
      <c r="C337" s="38">
        <v>194.20500000000001</v>
      </c>
      <c r="D337" s="38">
        <v>267.46600000000001</v>
      </c>
      <c r="E337" s="44">
        <v>812.32899999999995</v>
      </c>
      <c r="F337" s="38">
        <v>1274</v>
      </c>
      <c r="G337" s="38">
        <v>50</v>
      </c>
      <c r="H337" s="46">
        <v>600</v>
      </c>
      <c r="I337" s="38">
        <v>695</v>
      </c>
      <c r="J337" s="38">
        <v>0</v>
      </c>
      <c r="K337" s="39"/>
      <c r="L337" s="39"/>
      <c r="M337" s="39"/>
      <c r="N337" s="39"/>
      <c r="O337" s="39"/>
      <c r="P337" s="39"/>
      <c r="Q337" s="39"/>
      <c r="R337" s="39"/>
      <c r="S337" s="39"/>
      <c r="T337" s="39"/>
    </row>
    <row r="338" spans="1:20" ht="15.75">
      <c r="A338" s="13">
        <v>51440</v>
      </c>
      <c r="B338" s="47">
        <v>31</v>
      </c>
      <c r="C338" s="38">
        <v>131.881</v>
      </c>
      <c r="D338" s="38">
        <v>277.16699999999997</v>
      </c>
      <c r="E338" s="44">
        <v>829.952</v>
      </c>
      <c r="F338" s="38">
        <v>1239</v>
      </c>
      <c r="G338" s="38">
        <v>75</v>
      </c>
      <c r="H338" s="46">
        <v>600</v>
      </c>
      <c r="I338" s="38">
        <v>695</v>
      </c>
      <c r="J338" s="38">
        <v>0</v>
      </c>
      <c r="K338" s="39"/>
      <c r="L338" s="39"/>
      <c r="M338" s="39"/>
      <c r="N338" s="39"/>
      <c r="O338" s="39"/>
      <c r="P338" s="39"/>
      <c r="Q338" s="39"/>
      <c r="R338" s="39"/>
      <c r="S338" s="39"/>
      <c r="T338" s="39"/>
    </row>
    <row r="339" spans="1:20" ht="15.75">
      <c r="A339" s="13">
        <v>51470</v>
      </c>
      <c r="B339" s="47">
        <v>30</v>
      </c>
      <c r="C339" s="38">
        <v>122.58</v>
      </c>
      <c r="D339" s="38">
        <v>297.94099999999997</v>
      </c>
      <c r="E339" s="44">
        <v>729.47900000000004</v>
      </c>
      <c r="F339" s="38">
        <v>1150</v>
      </c>
      <c r="G339" s="38">
        <v>100</v>
      </c>
      <c r="H339" s="46">
        <v>600</v>
      </c>
      <c r="I339" s="38">
        <v>695</v>
      </c>
      <c r="J339" s="38">
        <v>50</v>
      </c>
      <c r="K339" s="39"/>
      <c r="L339" s="39"/>
      <c r="M339" s="39"/>
      <c r="N339" s="39"/>
      <c r="O339" s="39"/>
      <c r="P339" s="39"/>
      <c r="Q339" s="39"/>
      <c r="R339" s="39"/>
      <c r="S339" s="39"/>
      <c r="T339" s="39"/>
    </row>
    <row r="340" spans="1:20" ht="15.75">
      <c r="A340" s="13">
        <v>51501</v>
      </c>
      <c r="B340" s="47">
        <v>31</v>
      </c>
      <c r="C340" s="38">
        <v>122.58</v>
      </c>
      <c r="D340" s="38">
        <v>297.94099999999997</v>
      </c>
      <c r="E340" s="44">
        <v>729.47900000000004</v>
      </c>
      <c r="F340" s="38">
        <v>1150</v>
      </c>
      <c r="G340" s="38">
        <v>100</v>
      </c>
      <c r="H340" s="46">
        <v>600</v>
      </c>
      <c r="I340" s="38">
        <v>695</v>
      </c>
      <c r="J340" s="38">
        <v>50</v>
      </c>
      <c r="K340" s="39"/>
      <c r="L340" s="39"/>
      <c r="M340" s="39"/>
      <c r="N340" s="39"/>
      <c r="O340" s="39"/>
      <c r="P340" s="39"/>
      <c r="Q340" s="39"/>
      <c r="R340" s="39"/>
      <c r="S340" s="39"/>
      <c r="T340" s="39"/>
    </row>
    <row r="341" spans="1:20" ht="15.75">
      <c r="A341" s="13">
        <v>51532</v>
      </c>
      <c r="B341" s="47">
        <v>31</v>
      </c>
      <c r="C341" s="38">
        <v>122.58</v>
      </c>
      <c r="D341" s="38">
        <v>297.94099999999997</v>
      </c>
      <c r="E341" s="44">
        <v>729.47900000000004</v>
      </c>
      <c r="F341" s="38">
        <v>1150</v>
      </c>
      <c r="G341" s="38">
        <v>100</v>
      </c>
      <c r="H341" s="46">
        <v>600</v>
      </c>
      <c r="I341" s="38">
        <v>695</v>
      </c>
      <c r="J341" s="38">
        <v>50</v>
      </c>
      <c r="K341" s="39"/>
      <c r="L341" s="39"/>
      <c r="M341" s="39"/>
      <c r="N341" s="39"/>
      <c r="O341" s="39"/>
      <c r="P341" s="39"/>
      <c r="Q341" s="39"/>
      <c r="R341" s="39"/>
      <c r="S341" s="39"/>
      <c r="T341" s="39"/>
    </row>
    <row r="342" spans="1:20" ht="15.75">
      <c r="A342" s="13">
        <v>51560</v>
      </c>
      <c r="B342" s="47">
        <v>28</v>
      </c>
      <c r="C342" s="38">
        <v>122.58</v>
      </c>
      <c r="D342" s="38">
        <v>297.94099999999997</v>
      </c>
      <c r="E342" s="44">
        <v>729.47900000000004</v>
      </c>
      <c r="F342" s="38">
        <v>1150</v>
      </c>
      <c r="G342" s="38">
        <v>100</v>
      </c>
      <c r="H342" s="46">
        <v>600</v>
      </c>
      <c r="I342" s="38">
        <v>695</v>
      </c>
      <c r="J342" s="38">
        <v>50</v>
      </c>
      <c r="K342" s="39"/>
      <c r="L342" s="39"/>
      <c r="M342" s="39"/>
      <c r="N342" s="39"/>
      <c r="O342" s="39"/>
      <c r="P342" s="39"/>
      <c r="Q342" s="39"/>
      <c r="R342" s="39"/>
      <c r="S342" s="39"/>
      <c r="T342" s="39"/>
    </row>
    <row r="343" spans="1:20" ht="15.75">
      <c r="A343" s="13">
        <v>51591</v>
      </c>
      <c r="B343" s="47">
        <v>31</v>
      </c>
      <c r="C343" s="38">
        <v>122.58</v>
      </c>
      <c r="D343" s="38">
        <v>297.94099999999997</v>
      </c>
      <c r="E343" s="44">
        <v>729.47900000000004</v>
      </c>
      <c r="F343" s="38">
        <v>1150</v>
      </c>
      <c r="G343" s="38">
        <v>100</v>
      </c>
      <c r="H343" s="46">
        <v>600</v>
      </c>
      <c r="I343" s="38">
        <v>695</v>
      </c>
      <c r="J343" s="38">
        <v>50</v>
      </c>
      <c r="K343" s="39"/>
      <c r="L343" s="39"/>
      <c r="M343" s="39"/>
      <c r="N343" s="39"/>
      <c r="O343" s="39"/>
      <c r="P343" s="39"/>
      <c r="Q343" s="39"/>
      <c r="R343" s="39"/>
      <c r="S343" s="39"/>
      <c r="T343" s="39"/>
    </row>
    <row r="344" spans="1:20" ht="15.75">
      <c r="A344" s="13">
        <v>51621</v>
      </c>
      <c r="B344" s="47">
        <v>30</v>
      </c>
      <c r="C344" s="38">
        <v>141.29300000000001</v>
      </c>
      <c r="D344" s="38">
        <v>267.99299999999999</v>
      </c>
      <c r="E344" s="44">
        <v>829.71400000000006</v>
      </c>
      <c r="F344" s="38">
        <v>1239</v>
      </c>
      <c r="G344" s="38">
        <v>100</v>
      </c>
      <c r="H344" s="46">
        <v>600</v>
      </c>
      <c r="I344" s="38">
        <v>695</v>
      </c>
      <c r="J344" s="38">
        <v>50</v>
      </c>
      <c r="K344" s="39"/>
      <c r="L344" s="39"/>
      <c r="M344" s="39"/>
      <c r="N344" s="39"/>
      <c r="O344" s="39"/>
      <c r="P344" s="39"/>
      <c r="Q344" s="39"/>
      <c r="R344" s="39"/>
      <c r="S344" s="39"/>
      <c r="T344" s="39"/>
    </row>
    <row r="345" spans="1:20" ht="15.75">
      <c r="A345" s="13">
        <v>51652</v>
      </c>
      <c r="B345" s="47">
        <v>31</v>
      </c>
      <c r="C345" s="38">
        <v>194.20500000000001</v>
      </c>
      <c r="D345" s="38">
        <v>267.46600000000001</v>
      </c>
      <c r="E345" s="44">
        <v>812.32899999999995</v>
      </c>
      <c r="F345" s="38">
        <v>1274</v>
      </c>
      <c r="G345" s="38">
        <v>75</v>
      </c>
      <c r="H345" s="46">
        <v>600</v>
      </c>
      <c r="I345" s="38">
        <v>695</v>
      </c>
      <c r="J345" s="38">
        <v>50</v>
      </c>
      <c r="K345" s="39"/>
      <c r="L345" s="39"/>
      <c r="M345" s="39"/>
      <c r="N345" s="39"/>
      <c r="O345" s="39"/>
      <c r="P345" s="39"/>
      <c r="Q345" s="39"/>
      <c r="R345" s="39"/>
      <c r="S345" s="39"/>
      <c r="T345" s="39"/>
    </row>
    <row r="346" spans="1:20" ht="15.75">
      <c r="A346" s="13">
        <v>51682</v>
      </c>
      <c r="B346" s="47">
        <v>30</v>
      </c>
      <c r="C346" s="38">
        <v>194.20500000000001</v>
      </c>
      <c r="D346" s="38">
        <v>267.46600000000001</v>
      </c>
      <c r="E346" s="44">
        <v>812.32899999999995</v>
      </c>
      <c r="F346" s="38">
        <v>1274</v>
      </c>
      <c r="G346" s="38">
        <v>50</v>
      </c>
      <c r="H346" s="46">
        <v>600</v>
      </c>
      <c r="I346" s="38">
        <v>695</v>
      </c>
      <c r="J346" s="38">
        <v>50</v>
      </c>
      <c r="K346" s="39"/>
      <c r="L346" s="39"/>
      <c r="M346" s="39"/>
      <c r="N346" s="39"/>
      <c r="O346" s="39"/>
      <c r="P346" s="39"/>
      <c r="Q346" s="39"/>
      <c r="R346" s="39"/>
      <c r="S346" s="39"/>
      <c r="T346" s="39"/>
    </row>
    <row r="347" spans="1:20" ht="15.75">
      <c r="A347" s="13">
        <v>51713</v>
      </c>
      <c r="B347" s="47">
        <v>31</v>
      </c>
      <c r="C347" s="38">
        <v>194.20500000000001</v>
      </c>
      <c r="D347" s="38">
        <v>267.46600000000001</v>
      </c>
      <c r="E347" s="44">
        <v>812.32899999999995</v>
      </c>
      <c r="F347" s="38">
        <v>1274</v>
      </c>
      <c r="G347" s="38">
        <v>50</v>
      </c>
      <c r="H347" s="46">
        <v>600</v>
      </c>
      <c r="I347" s="38">
        <v>695</v>
      </c>
      <c r="J347" s="38">
        <v>0</v>
      </c>
      <c r="K347" s="39"/>
      <c r="L347" s="39"/>
      <c r="M347" s="39"/>
      <c r="N347" s="39"/>
      <c r="O347" s="39"/>
      <c r="P347" s="39"/>
      <c r="Q347" s="39"/>
      <c r="R347" s="39"/>
      <c r="S347" s="39"/>
      <c r="T347" s="39"/>
    </row>
    <row r="348" spans="1:20" ht="15.75">
      <c r="A348" s="13">
        <v>51744</v>
      </c>
      <c r="B348" s="47">
        <v>31</v>
      </c>
      <c r="C348" s="38">
        <v>194.20500000000001</v>
      </c>
      <c r="D348" s="38">
        <v>267.46600000000001</v>
      </c>
      <c r="E348" s="44">
        <v>812.32899999999995</v>
      </c>
      <c r="F348" s="38">
        <v>1274</v>
      </c>
      <c r="G348" s="38">
        <v>50</v>
      </c>
      <c r="H348" s="46">
        <v>600</v>
      </c>
      <c r="I348" s="38">
        <v>695</v>
      </c>
      <c r="J348" s="38">
        <v>0</v>
      </c>
      <c r="K348" s="39"/>
      <c r="L348" s="39"/>
      <c r="M348" s="39"/>
      <c r="N348" s="39"/>
      <c r="O348" s="39"/>
      <c r="P348" s="39"/>
      <c r="Q348" s="39"/>
      <c r="R348" s="39"/>
      <c r="S348" s="39"/>
      <c r="T348" s="39"/>
    </row>
    <row r="349" spans="1:20" ht="15.75">
      <c r="A349" s="13">
        <v>51774</v>
      </c>
      <c r="B349" s="47">
        <v>30</v>
      </c>
      <c r="C349" s="38">
        <v>194.20500000000001</v>
      </c>
      <c r="D349" s="38">
        <v>267.46600000000001</v>
      </c>
      <c r="E349" s="44">
        <v>812.32899999999995</v>
      </c>
      <c r="F349" s="38">
        <v>1274</v>
      </c>
      <c r="G349" s="38">
        <v>50</v>
      </c>
      <c r="H349" s="46">
        <v>600</v>
      </c>
      <c r="I349" s="38">
        <v>695</v>
      </c>
      <c r="J349" s="38">
        <v>0</v>
      </c>
      <c r="K349" s="39"/>
      <c r="L349" s="39"/>
      <c r="M349" s="39"/>
      <c r="N349" s="39"/>
      <c r="O349" s="39"/>
      <c r="P349" s="39"/>
      <c r="Q349" s="39"/>
      <c r="R349" s="39"/>
      <c r="S349" s="39"/>
      <c r="T349" s="39"/>
    </row>
    <row r="350" spans="1:20" ht="15.75">
      <c r="A350" s="13">
        <v>51805</v>
      </c>
      <c r="B350" s="47">
        <v>31</v>
      </c>
      <c r="C350" s="38">
        <v>131.881</v>
      </c>
      <c r="D350" s="38">
        <v>277.16699999999997</v>
      </c>
      <c r="E350" s="44">
        <v>829.952</v>
      </c>
      <c r="F350" s="38">
        <v>1239</v>
      </c>
      <c r="G350" s="38">
        <v>75</v>
      </c>
      <c r="H350" s="46">
        <v>600</v>
      </c>
      <c r="I350" s="38">
        <v>695</v>
      </c>
      <c r="J350" s="38">
        <v>0</v>
      </c>
      <c r="K350" s="39"/>
      <c r="L350" s="39"/>
      <c r="M350" s="39"/>
      <c r="N350" s="39"/>
      <c r="O350" s="39"/>
      <c r="P350" s="39"/>
      <c r="Q350" s="39"/>
      <c r="R350" s="39"/>
      <c r="S350" s="39"/>
      <c r="T350" s="39"/>
    </row>
    <row r="351" spans="1:20" ht="15.75">
      <c r="A351" s="13">
        <v>51835</v>
      </c>
      <c r="B351" s="47">
        <v>30</v>
      </c>
      <c r="C351" s="38">
        <v>122.58</v>
      </c>
      <c r="D351" s="38">
        <v>297.94099999999997</v>
      </c>
      <c r="E351" s="44">
        <v>729.47900000000004</v>
      </c>
      <c r="F351" s="38">
        <v>1150</v>
      </c>
      <c r="G351" s="38">
        <v>100</v>
      </c>
      <c r="H351" s="46">
        <v>600</v>
      </c>
      <c r="I351" s="38">
        <v>695</v>
      </c>
      <c r="J351" s="38">
        <v>50</v>
      </c>
      <c r="K351" s="39"/>
      <c r="L351" s="39"/>
      <c r="M351" s="39"/>
      <c r="N351" s="39"/>
      <c r="O351" s="39"/>
      <c r="P351" s="39"/>
      <c r="Q351" s="39"/>
      <c r="R351" s="39"/>
      <c r="S351" s="39"/>
      <c r="T351" s="39"/>
    </row>
    <row r="352" spans="1:20" ht="15.75">
      <c r="A352" s="13">
        <v>51866</v>
      </c>
      <c r="B352" s="47">
        <v>31</v>
      </c>
      <c r="C352" s="38">
        <v>122.58</v>
      </c>
      <c r="D352" s="38">
        <v>297.94099999999997</v>
      </c>
      <c r="E352" s="44">
        <v>729.47900000000004</v>
      </c>
      <c r="F352" s="38">
        <v>1150</v>
      </c>
      <c r="G352" s="38">
        <v>100</v>
      </c>
      <c r="H352" s="46">
        <v>600</v>
      </c>
      <c r="I352" s="38">
        <v>695</v>
      </c>
      <c r="J352" s="38">
        <v>50</v>
      </c>
      <c r="K352" s="39"/>
      <c r="L352" s="39"/>
      <c r="M352" s="39"/>
      <c r="N352" s="39"/>
      <c r="O352" s="39"/>
      <c r="P352" s="39"/>
      <c r="Q352" s="39"/>
      <c r="R352" s="39"/>
      <c r="S352" s="39"/>
      <c r="T352" s="39"/>
    </row>
    <row r="353" spans="1:20" ht="15.75">
      <c r="A353" s="13">
        <v>51897</v>
      </c>
      <c r="B353" s="47">
        <v>31</v>
      </c>
      <c r="C353" s="38">
        <v>122.58</v>
      </c>
      <c r="D353" s="38">
        <v>297.94099999999997</v>
      </c>
      <c r="E353" s="44">
        <v>729.47900000000004</v>
      </c>
      <c r="F353" s="38">
        <v>1150</v>
      </c>
      <c r="G353" s="38">
        <v>100</v>
      </c>
      <c r="H353" s="46">
        <v>600</v>
      </c>
      <c r="I353" s="38">
        <v>695</v>
      </c>
      <c r="J353" s="38">
        <v>50</v>
      </c>
      <c r="K353" s="39"/>
      <c r="L353" s="39"/>
      <c r="M353" s="39"/>
      <c r="N353" s="39"/>
      <c r="O353" s="39"/>
      <c r="P353" s="39"/>
      <c r="Q353" s="39"/>
      <c r="R353" s="39"/>
      <c r="S353" s="39"/>
      <c r="T353" s="39"/>
    </row>
    <row r="354" spans="1:20" ht="15.75">
      <c r="A354" s="13">
        <v>51925</v>
      </c>
      <c r="B354" s="47">
        <v>28</v>
      </c>
      <c r="C354" s="38">
        <v>122.58</v>
      </c>
      <c r="D354" s="38">
        <v>297.94099999999997</v>
      </c>
      <c r="E354" s="44">
        <v>729.47900000000004</v>
      </c>
      <c r="F354" s="38">
        <v>1150</v>
      </c>
      <c r="G354" s="38">
        <v>100</v>
      </c>
      <c r="H354" s="46">
        <v>600</v>
      </c>
      <c r="I354" s="38">
        <v>695</v>
      </c>
      <c r="J354" s="38">
        <v>50</v>
      </c>
      <c r="K354" s="39"/>
      <c r="L354" s="39"/>
      <c r="M354" s="39"/>
      <c r="N354" s="39"/>
      <c r="O354" s="39"/>
      <c r="P354" s="39"/>
      <c r="Q354" s="39"/>
      <c r="R354" s="39"/>
      <c r="S354" s="39"/>
      <c r="T354" s="39"/>
    </row>
    <row r="355" spans="1:20" ht="15.75">
      <c r="A355" s="13">
        <v>51956</v>
      </c>
      <c r="B355" s="47">
        <v>31</v>
      </c>
      <c r="C355" s="38">
        <v>122.58</v>
      </c>
      <c r="D355" s="38">
        <v>297.94099999999997</v>
      </c>
      <c r="E355" s="44">
        <v>729.47900000000004</v>
      </c>
      <c r="F355" s="38">
        <v>1150</v>
      </c>
      <c r="G355" s="38">
        <v>100</v>
      </c>
      <c r="H355" s="46">
        <v>600</v>
      </c>
      <c r="I355" s="38">
        <v>695</v>
      </c>
      <c r="J355" s="38">
        <v>50</v>
      </c>
      <c r="K355" s="39"/>
      <c r="L355" s="39"/>
      <c r="M355" s="39"/>
      <c r="N355" s="39"/>
      <c r="O355" s="39"/>
      <c r="P355" s="39"/>
      <c r="Q355" s="39"/>
      <c r="R355" s="39"/>
      <c r="S355" s="39"/>
      <c r="T355" s="39"/>
    </row>
    <row r="356" spans="1:20" ht="15.75">
      <c r="A356" s="13">
        <v>51986</v>
      </c>
      <c r="B356" s="47">
        <v>30</v>
      </c>
      <c r="C356" s="38">
        <v>141.29300000000001</v>
      </c>
      <c r="D356" s="38">
        <v>267.99299999999999</v>
      </c>
      <c r="E356" s="44">
        <v>829.71400000000006</v>
      </c>
      <c r="F356" s="38">
        <v>1239</v>
      </c>
      <c r="G356" s="38">
        <v>100</v>
      </c>
      <c r="H356" s="46">
        <v>600</v>
      </c>
      <c r="I356" s="38">
        <v>695</v>
      </c>
      <c r="J356" s="38">
        <v>50</v>
      </c>
      <c r="K356" s="39"/>
      <c r="L356" s="39"/>
      <c r="M356" s="39"/>
      <c r="N356" s="39"/>
      <c r="O356" s="39"/>
      <c r="P356" s="39"/>
      <c r="Q356" s="39"/>
      <c r="R356" s="39"/>
      <c r="S356" s="39"/>
      <c r="T356" s="39"/>
    </row>
    <row r="357" spans="1:20" ht="15.75">
      <c r="A357" s="13">
        <v>52017</v>
      </c>
      <c r="B357" s="47">
        <v>31</v>
      </c>
      <c r="C357" s="38">
        <v>194.20500000000001</v>
      </c>
      <c r="D357" s="38">
        <v>267.46600000000001</v>
      </c>
      <c r="E357" s="44">
        <v>812.32899999999995</v>
      </c>
      <c r="F357" s="38">
        <v>1274</v>
      </c>
      <c r="G357" s="38">
        <v>75</v>
      </c>
      <c r="H357" s="46">
        <v>600</v>
      </c>
      <c r="I357" s="38">
        <v>695</v>
      </c>
      <c r="J357" s="38">
        <v>50</v>
      </c>
      <c r="K357" s="39"/>
      <c r="L357" s="39"/>
      <c r="M357" s="39"/>
      <c r="N357" s="39"/>
      <c r="O357" s="39"/>
      <c r="P357" s="39"/>
      <c r="Q357" s="39"/>
      <c r="R357" s="39"/>
      <c r="S357" s="39"/>
      <c r="T357" s="39"/>
    </row>
    <row r="358" spans="1:20" ht="15.75">
      <c r="A358" s="13">
        <v>52047</v>
      </c>
      <c r="B358" s="47">
        <v>30</v>
      </c>
      <c r="C358" s="38">
        <v>194.20500000000001</v>
      </c>
      <c r="D358" s="38">
        <v>267.46600000000001</v>
      </c>
      <c r="E358" s="44">
        <v>812.32899999999995</v>
      </c>
      <c r="F358" s="38">
        <v>1274</v>
      </c>
      <c r="G358" s="38">
        <v>50</v>
      </c>
      <c r="H358" s="46">
        <v>600</v>
      </c>
      <c r="I358" s="38">
        <v>695</v>
      </c>
      <c r="J358" s="38">
        <v>50</v>
      </c>
      <c r="K358" s="39"/>
      <c r="L358" s="39"/>
      <c r="M358" s="39"/>
      <c r="N358" s="39"/>
      <c r="O358" s="39"/>
      <c r="P358" s="39"/>
      <c r="Q358" s="39"/>
      <c r="R358" s="39"/>
      <c r="S358" s="39"/>
      <c r="T358" s="39"/>
    </row>
    <row r="359" spans="1:20" ht="15.75">
      <c r="A359" s="13">
        <v>52078</v>
      </c>
      <c r="B359" s="47">
        <v>31</v>
      </c>
      <c r="C359" s="38">
        <v>194.20500000000001</v>
      </c>
      <c r="D359" s="38">
        <v>267.46600000000001</v>
      </c>
      <c r="E359" s="44">
        <v>812.32899999999995</v>
      </c>
      <c r="F359" s="38">
        <v>1274</v>
      </c>
      <c r="G359" s="38">
        <v>50</v>
      </c>
      <c r="H359" s="46">
        <v>600</v>
      </c>
      <c r="I359" s="38">
        <v>695</v>
      </c>
      <c r="J359" s="38">
        <v>0</v>
      </c>
      <c r="K359" s="39"/>
      <c r="L359" s="39"/>
      <c r="M359" s="39"/>
      <c r="N359" s="39"/>
      <c r="O359" s="39"/>
      <c r="P359" s="39"/>
      <c r="Q359" s="39"/>
      <c r="R359" s="39"/>
      <c r="S359" s="39"/>
      <c r="T359" s="39"/>
    </row>
    <row r="360" spans="1:20" ht="15.75">
      <c r="A360" s="13">
        <v>52109</v>
      </c>
      <c r="B360" s="47">
        <v>31</v>
      </c>
      <c r="C360" s="38">
        <v>194.20500000000001</v>
      </c>
      <c r="D360" s="38">
        <v>267.46600000000001</v>
      </c>
      <c r="E360" s="44">
        <v>812.32899999999995</v>
      </c>
      <c r="F360" s="38">
        <v>1274</v>
      </c>
      <c r="G360" s="38">
        <v>50</v>
      </c>
      <c r="H360" s="46">
        <v>600</v>
      </c>
      <c r="I360" s="38">
        <v>695</v>
      </c>
      <c r="J360" s="38">
        <v>0</v>
      </c>
      <c r="K360" s="39"/>
      <c r="L360" s="39"/>
      <c r="M360" s="39"/>
      <c r="N360" s="39"/>
      <c r="O360" s="39"/>
      <c r="P360" s="39"/>
      <c r="Q360" s="39"/>
      <c r="R360" s="39"/>
      <c r="S360" s="39"/>
      <c r="T360" s="39"/>
    </row>
    <row r="361" spans="1:20" ht="15.75">
      <c r="A361" s="13">
        <v>52139</v>
      </c>
      <c r="B361" s="47">
        <v>30</v>
      </c>
      <c r="C361" s="38">
        <v>194.20500000000001</v>
      </c>
      <c r="D361" s="38">
        <v>267.46600000000001</v>
      </c>
      <c r="E361" s="44">
        <v>812.32899999999995</v>
      </c>
      <c r="F361" s="38">
        <v>1274</v>
      </c>
      <c r="G361" s="38">
        <v>50</v>
      </c>
      <c r="H361" s="46">
        <v>600</v>
      </c>
      <c r="I361" s="38">
        <v>695</v>
      </c>
      <c r="J361" s="38">
        <v>0</v>
      </c>
      <c r="K361" s="39"/>
      <c r="L361" s="39"/>
      <c r="M361" s="39"/>
      <c r="N361" s="39"/>
      <c r="O361" s="39"/>
      <c r="P361" s="39"/>
      <c r="Q361" s="39"/>
      <c r="R361" s="39"/>
      <c r="S361" s="39"/>
      <c r="T361" s="39"/>
    </row>
    <row r="362" spans="1:20" ht="15.75">
      <c r="A362" s="13">
        <v>52170</v>
      </c>
      <c r="B362" s="47">
        <v>31</v>
      </c>
      <c r="C362" s="38">
        <v>131.881</v>
      </c>
      <c r="D362" s="38">
        <v>277.16699999999997</v>
      </c>
      <c r="E362" s="44">
        <v>829.952</v>
      </c>
      <c r="F362" s="38">
        <v>1239</v>
      </c>
      <c r="G362" s="38">
        <v>75</v>
      </c>
      <c r="H362" s="46">
        <v>600</v>
      </c>
      <c r="I362" s="38">
        <v>695</v>
      </c>
      <c r="J362" s="38">
        <v>0</v>
      </c>
      <c r="K362" s="39"/>
      <c r="L362" s="39"/>
      <c r="M362" s="39"/>
      <c r="N362" s="39"/>
      <c r="O362" s="39"/>
      <c r="P362" s="39"/>
      <c r="Q362" s="39"/>
      <c r="R362" s="39"/>
      <c r="S362" s="39"/>
      <c r="T362" s="39"/>
    </row>
    <row r="363" spans="1:20" ht="15.75">
      <c r="A363" s="13">
        <v>52200</v>
      </c>
      <c r="B363" s="47">
        <v>30</v>
      </c>
      <c r="C363" s="38">
        <v>122.58</v>
      </c>
      <c r="D363" s="38">
        <v>297.94099999999997</v>
      </c>
      <c r="E363" s="44">
        <v>729.47900000000004</v>
      </c>
      <c r="F363" s="38">
        <v>1150</v>
      </c>
      <c r="G363" s="38">
        <v>100</v>
      </c>
      <c r="H363" s="46">
        <v>600</v>
      </c>
      <c r="I363" s="38">
        <v>695</v>
      </c>
      <c r="J363" s="38">
        <v>50</v>
      </c>
      <c r="K363" s="39"/>
      <c r="L363" s="39"/>
      <c r="M363" s="39"/>
      <c r="N363" s="39"/>
      <c r="O363" s="39"/>
      <c r="P363" s="39"/>
      <c r="Q363" s="39"/>
      <c r="R363" s="39"/>
      <c r="S363" s="39"/>
      <c r="T363" s="39"/>
    </row>
    <row r="364" spans="1:20" ht="15.75">
      <c r="A364" s="13">
        <v>52231</v>
      </c>
      <c r="B364" s="47">
        <v>31</v>
      </c>
      <c r="C364" s="38">
        <v>122.58</v>
      </c>
      <c r="D364" s="38">
        <v>297.94099999999997</v>
      </c>
      <c r="E364" s="44">
        <v>729.47900000000004</v>
      </c>
      <c r="F364" s="38">
        <v>1150</v>
      </c>
      <c r="G364" s="38">
        <v>100</v>
      </c>
      <c r="H364" s="46">
        <v>600</v>
      </c>
      <c r="I364" s="38">
        <v>695</v>
      </c>
      <c r="J364" s="38">
        <v>50</v>
      </c>
      <c r="K364" s="39"/>
      <c r="L364" s="39"/>
      <c r="M364" s="39"/>
      <c r="N364" s="39"/>
      <c r="O364" s="39"/>
      <c r="P364" s="39"/>
      <c r="Q364" s="39"/>
      <c r="R364" s="39"/>
      <c r="S364" s="39"/>
      <c r="T364" s="39"/>
    </row>
    <row r="365" spans="1:20" ht="15.75">
      <c r="A365" s="13">
        <v>52262</v>
      </c>
      <c r="B365" s="47">
        <v>31</v>
      </c>
      <c r="C365" s="38">
        <v>122.58</v>
      </c>
      <c r="D365" s="38">
        <v>297.94099999999997</v>
      </c>
      <c r="E365" s="44">
        <v>729.47900000000004</v>
      </c>
      <c r="F365" s="38">
        <v>1150</v>
      </c>
      <c r="G365" s="38">
        <v>100</v>
      </c>
      <c r="H365" s="46">
        <v>600</v>
      </c>
      <c r="I365" s="38">
        <v>695</v>
      </c>
      <c r="J365" s="38">
        <v>50</v>
      </c>
      <c r="K365" s="39"/>
      <c r="L365" s="39"/>
      <c r="M365" s="39"/>
      <c r="N365" s="39"/>
      <c r="O365" s="39"/>
      <c r="P365" s="39"/>
      <c r="Q365" s="39"/>
      <c r="R365" s="39"/>
      <c r="S365" s="39"/>
      <c r="T365" s="39"/>
    </row>
    <row r="366" spans="1:20" ht="15.75">
      <c r="A366" s="13">
        <v>52290</v>
      </c>
      <c r="B366" s="47">
        <v>28</v>
      </c>
      <c r="C366" s="38">
        <v>122.58</v>
      </c>
      <c r="D366" s="38">
        <v>297.94099999999997</v>
      </c>
      <c r="E366" s="44">
        <v>729.47900000000004</v>
      </c>
      <c r="F366" s="38">
        <v>1150</v>
      </c>
      <c r="G366" s="38">
        <v>100</v>
      </c>
      <c r="H366" s="46">
        <v>600</v>
      </c>
      <c r="I366" s="38">
        <v>695</v>
      </c>
      <c r="J366" s="38">
        <v>50</v>
      </c>
      <c r="K366" s="39"/>
      <c r="L366" s="39"/>
      <c r="M366" s="39"/>
      <c r="N366" s="39"/>
      <c r="O366" s="39"/>
      <c r="P366" s="39"/>
      <c r="Q366" s="39"/>
      <c r="R366" s="39"/>
      <c r="S366" s="39"/>
      <c r="T366" s="39"/>
    </row>
    <row r="367" spans="1:20" ht="15.75">
      <c r="A367" s="13">
        <v>52321</v>
      </c>
      <c r="B367" s="47">
        <v>31</v>
      </c>
      <c r="C367" s="38">
        <v>122.58</v>
      </c>
      <c r="D367" s="38">
        <v>297.94099999999997</v>
      </c>
      <c r="E367" s="44">
        <v>729.47900000000004</v>
      </c>
      <c r="F367" s="38">
        <v>1150</v>
      </c>
      <c r="G367" s="38">
        <v>100</v>
      </c>
      <c r="H367" s="46">
        <v>600</v>
      </c>
      <c r="I367" s="38">
        <v>695</v>
      </c>
      <c r="J367" s="38">
        <v>50</v>
      </c>
      <c r="K367" s="39"/>
      <c r="L367" s="39"/>
      <c r="M367" s="39"/>
      <c r="N367" s="39"/>
      <c r="O367" s="39"/>
      <c r="P367" s="39"/>
      <c r="Q367" s="39"/>
      <c r="R367" s="39"/>
      <c r="S367" s="39"/>
      <c r="T367" s="39"/>
    </row>
    <row r="368" spans="1:20" ht="15.75">
      <c r="A368" s="13">
        <v>52351</v>
      </c>
      <c r="B368" s="47">
        <v>30</v>
      </c>
      <c r="C368" s="38">
        <v>141.29300000000001</v>
      </c>
      <c r="D368" s="38">
        <v>267.99299999999999</v>
      </c>
      <c r="E368" s="44">
        <v>829.71400000000006</v>
      </c>
      <c r="F368" s="38">
        <v>1239</v>
      </c>
      <c r="G368" s="38">
        <v>100</v>
      </c>
      <c r="H368" s="46">
        <v>600</v>
      </c>
      <c r="I368" s="38">
        <v>695</v>
      </c>
      <c r="J368" s="38">
        <v>50</v>
      </c>
      <c r="K368" s="39"/>
      <c r="L368" s="39"/>
      <c r="M368" s="39"/>
      <c r="N368" s="39"/>
      <c r="O368" s="39"/>
      <c r="P368" s="39"/>
      <c r="Q368" s="39"/>
      <c r="R368" s="39"/>
      <c r="S368" s="39"/>
      <c r="T368" s="39"/>
    </row>
    <row r="369" spans="1:20" ht="15.75">
      <c r="A369" s="13">
        <v>52382</v>
      </c>
      <c r="B369" s="47">
        <v>31</v>
      </c>
      <c r="C369" s="38">
        <v>194.20500000000001</v>
      </c>
      <c r="D369" s="38">
        <v>267.46600000000001</v>
      </c>
      <c r="E369" s="44">
        <v>812.32899999999995</v>
      </c>
      <c r="F369" s="38">
        <v>1274</v>
      </c>
      <c r="G369" s="38">
        <v>75</v>
      </c>
      <c r="H369" s="46">
        <v>600</v>
      </c>
      <c r="I369" s="38">
        <v>695</v>
      </c>
      <c r="J369" s="38">
        <v>50</v>
      </c>
      <c r="K369" s="39"/>
      <c r="L369" s="39"/>
      <c r="M369" s="39"/>
      <c r="N369" s="39"/>
      <c r="O369" s="39"/>
      <c r="P369" s="39"/>
      <c r="Q369" s="39"/>
      <c r="R369" s="39"/>
      <c r="S369" s="39"/>
      <c r="T369" s="39"/>
    </row>
    <row r="370" spans="1:20" ht="15.75">
      <c r="A370" s="13">
        <v>52412</v>
      </c>
      <c r="B370" s="47">
        <v>30</v>
      </c>
      <c r="C370" s="38">
        <v>194.20500000000001</v>
      </c>
      <c r="D370" s="38">
        <v>267.46600000000001</v>
      </c>
      <c r="E370" s="44">
        <v>812.32899999999995</v>
      </c>
      <c r="F370" s="38">
        <v>1274</v>
      </c>
      <c r="G370" s="38">
        <v>50</v>
      </c>
      <c r="H370" s="46">
        <v>600</v>
      </c>
      <c r="I370" s="38">
        <v>695</v>
      </c>
      <c r="J370" s="38">
        <v>50</v>
      </c>
      <c r="K370" s="39"/>
      <c r="L370" s="39"/>
      <c r="M370" s="39"/>
      <c r="N370" s="39"/>
      <c r="O370" s="39"/>
      <c r="P370" s="39"/>
      <c r="Q370" s="39"/>
      <c r="R370" s="39"/>
      <c r="S370" s="39"/>
      <c r="T370" s="39"/>
    </row>
    <row r="371" spans="1:20" ht="15.75">
      <c r="A371" s="13">
        <v>52443</v>
      </c>
      <c r="B371" s="47">
        <v>31</v>
      </c>
      <c r="C371" s="38">
        <v>194.20500000000001</v>
      </c>
      <c r="D371" s="38">
        <v>267.46600000000001</v>
      </c>
      <c r="E371" s="44">
        <v>812.32899999999995</v>
      </c>
      <c r="F371" s="38">
        <v>1274</v>
      </c>
      <c r="G371" s="38">
        <v>50</v>
      </c>
      <c r="H371" s="46">
        <v>600</v>
      </c>
      <c r="I371" s="38">
        <v>695</v>
      </c>
      <c r="J371" s="38">
        <v>0</v>
      </c>
      <c r="K371" s="39"/>
      <c r="L371" s="39"/>
      <c r="M371" s="39"/>
      <c r="N371" s="39"/>
      <c r="O371" s="39"/>
      <c r="P371" s="39"/>
      <c r="Q371" s="39"/>
      <c r="R371" s="39"/>
      <c r="S371" s="39"/>
      <c r="T371" s="39"/>
    </row>
    <row r="372" spans="1:20" ht="15.75">
      <c r="A372" s="13">
        <v>52474</v>
      </c>
      <c r="B372" s="47">
        <v>31</v>
      </c>
      <c r="C372" s="38">
        <v>194.20500000000001</v>
      </c>
      <c r="D372" s="38">
        <v>267.46600000000001</v>
      </c>
      <c r="E372" s="44">
        <v>812.32899999999995</v>
      </c>
      <c r="F372" s="38">
        <v>1274</v>
      </c>
      <c r="G372" s="38">
        <v>50</v>
      </c>
      <c r="H372" s="46">
        <v>600</v>
      </c>
      <c r="I372" s="38">
        <v>695</v>
      </c>
      <c r="J372" s="38">
        <v>0</v>
      </c>
      <c r="K372" s="39"/>
      <c r="L372" s="39"/>
      <c r="M372" s="39"/>
      <c r="N372" s="39"/>
      <c r="O372" s="39"/>
      <c r="P372" s="39"/>
      <c r="Q372" s="39"/>
      <c r="R372" s="39"/>
      <c r="S372" s="39"/>
      <c r="T372" s="39"/>
    </row>
    <row r="373" spans="1:20" ht="15.75">
      <c r="A373" s="13">
        <v>52504</v>
      </c>
      <c r="B373" s="47">
        <v>30</v>
      </c>
      <c r="C373" s="38">
        <v>194.20500000000001</v>
      </c>
      <c r="D373" s="38">
        <v>267.46600000000001</v>
      </c>
      <c r="E373" s="44">
        <v>812.32899999999995</v>
      </c>
      <c r="F373" s="38">
        <v>1274</v>
      </c>
      <c r="G373" s="38">
        <v>50</v>
      </c>
      <c r="H373" s="46">
        <v>600</v>
      </c>
      <c r="I373" s="38">
        <v>695</v>
      </c>
      <c r="J373" s="38">
        <v>0</v>
      </c>
      <c r="K373" s="39"/>
      <c r="L373" s="39"/>
      <c r="M373" s="39"/>
      <c r="N373" s="39"/>
      <c r="O373" s="39"/>
      <c r="P373" s="39"/>
      <c r="Q373" s="39"/>
      <c r="R373" s="39"/>
      <c r="S373" s="39"/>
      <c r="T373" s="39"/>
    </row>
    <row r="374" spans="1:20" ht="15.75">
      <c r="A374" s="13">
        <v>52535</v>
      </c>
      <c r="B374" s="47">
        <v>31</v>
      </c>
      <c r="C374" s="38">
        <v>131.881</v>
      </c>
      <c r="D374" s="38">
        <v>277.16699999999997</v>
      </c>
      <c r="E374" s="44">
        <v>829.952</v>
      </c>
      <c r="F374" s="38">
        <v>1239</v>
      </c>
      <c r="G374" s="38">
        <v>75</v>
      </c>
      <c r="H374" s="46">
        <v>600</v>
      </c>
      <c r="I374" s="38">
        <v>695</v>
      </c>
      <c r="J374" s="38">
        <v>0</v>
      </c>
      <c r="K374" s="39"/>
      <c r="L374" s="39"/>
      <c r="M374" s="39"/>
      <c r="N374" s="39"/>
      <c r="O374" s="39"/>
      <c r="P374" s="39"/>
      <c r="Q374" s="39"/>
      <c r="R374" s="39"/>
      <c r="S374" s="39"/>
      <c r="T374" s="39"/>
    </row>
    <row r="375" spans="1:20" ht="15.75">
      <c r="A375" s="13">
        <v>52565</v>
      </c>
      <c r="B375" s="47">
        <v>30</v>
      </c>
      <c r="C375" s="38">
        <v>122.58</v>
      </c>
      <c r="D375" s="38">
        <v>297.94099999999997</v>
      </c>
      <c r="E375" s="44">
        <v>729.47900000000004</v>
      </c>
      <c r="F375" s="38">
        <v>1150</v>
      </c>
      <c r="G375" s="38">
        <v>100</v>
      </c>
      <c r="H375" s="46">
        <v>600</v>
      </c>
      <c r="I375" s="38">
        <v>695</v>
      </c>
      <c r="J375" s="38">
        <v>50</v>
      </c>
      <c r="K375" s="39"/>
      <c r="L375" s="39"/>
      <c r="M375" s="39"/>
      <c r="N375" s="39"/>
      <c r="O375" s="39"/>
      <c r="P375" s="39"/>
      <c r="Q375" s="39"/>
      <c r="R375" s="39"/>
      <c r="S375" s="39"/>
      <c r="T375" s="39"/>
    </row>
    <row r="376" spans="1:20" ht="15.75">
      <c r="A376" s="13">
        <v>52596</v>
      </c>
      <c r="B376" s="47">
        <v>31</v>
      </c>
      <c r="C376" s="38">
        <v>122.58</v>
      </c>
      <c r="D376" s="38">
        <v>297.94099999999997</v>
      </c>
      <c r="E376" s="44">
        <v>729.47900000000004</v>
      </c>
      <c r="F376" s="38">
        <v>1150</v>
      </c>
      <c r="G376" s="38">
        <v>100</v>
      </c>
      <c r="H376" s="46">
        <v>600</v>
      </c>
      <c r="I376" s="38">
        <v>695</v>
      </c>
      <c r="J376" s="38">
        <v>50</v>
      </c>
      <c r="K376" s="39"/>
      <c r="L376" s="39"/>
      <c r="M376" s="39"/>
      <c r="N376" s="39"/>
      <c r="O376" s="39"/>
      <c r="P376" s="39"/>
      <c r="Q376" s="39"/>
      <c r="R376" s="39"/>
      <c r="S376" s="39"/>
      <c r="T376" s="39"/>
    </row>
    <row r="377" spans="1:20" ht="15.75">
      <c r="A377" s="13">
        <v>52627</v>
      </c>
      <c r="B377" s="47">
        <v>31</v>
      </c>
      <c r="C377" s="38">
        <v>122.58</v>
      </c>
      <c r="D377" s="38">
        <v>297.94099999999997</v>
      </c>
      <c r="E377" s="44">
        <v>729.47900000000004</v>
      </c>
      <c r="F377" s="38">
        <v>1150</v>
      </c>
      <c r="G377" s="38">
        <v>100</v>
      </c>
      <c r="H377" s="46">
        <v>600</v>
      </c>
      <c r="I377" s="38">
        <v>695</v>
      </c>
      <c r="J377" s="38">
        <v>50</v>
      </c>
      <c r="K377" s="39"/>
      <c r="L377" s="39"/>
      <c r="M377" s="39"/>
      <c r="N377" s="39"/>
      <c r="O377" s="39"/>
      <c r="P377" s="39"/>
      <c r="Q377" s="39"/>
      <c r="R377" s="39"/>
      <c r="S377" s="39"/>
      <c r="T377" s="39"/>
    </row>
    <row r="378" spans="1:20" ht="15.75">
      <c r="A378" s="13">
        <v>52655</v>
      </c>
      <c r="B378" s="47">
        <v>29</v>
      </c>
      <c r="C378" s="38">
        <v>122.58</v>
      </c>
      <c r="D378" s="38">
        <v>297.94099999999997</v>
      </c>
      <c r="E378" s="44">
        <v>729.47900000000004</v>
      </c>
      <c r="F378" s="38">
        <v>1150</v>
      </c>
      <c r="G378" s="38">
        <v>100</v>
      </c>
      <c r="H378" s="46">
        <v>600</v>
      </c>
      <c r="I378" s="38">
        <v>695</v>
      </c>
      <c r="J378" s="38">
        <v>50</v>
      </c>
      <c r="K378" s="39"/>
      <c r="L378" s="39"/>
      <c r="M378" s="39"/>
      <c r="N378" s="39"/>
      <c r="O378" s="39"/>
      <c r="P378" s="39"/>
      <c r="Q378" s="39"/>
      <c r="R378" s="39"/>
      <c r="S378" s="39"/>
      <c r="T378" s="39"/>
    </row>
    <row r="379" spans="1:20" ht="15.75">
      <c r="A379" s="13">
        <v>52687</v>
      </c>
      <c r="B379" s="47">
        <v>31</v>
      </c>
      <c r="C379" s="38">
        <v>122.58</v>
      </c>
      <c r="D379" s="38">
        <v>297.94099999999997</v>
      </c>
      <c r="E379" s="44">
        <v>729.47900000000004</v>
      </c>
      <c r="F379" s="38">
        <v>1150</v>
      </c>
      <c r="G379" s="38">
        <v>100</v>
      </c>
      <c r="H379" s="46">
        <v>600</v>
      </c>
      <c r="I379" s="38">
        <v>695</v>
      </c>
      <c r="J379" s="38">
        <v>50</v>
      </c>
      <c r="K379" s="39"/>
      <c r="L379" s="39"/>
      <c r="M379" s="39"/>
      <c r="N379" s="39"/>
      <c r="O379" s="39"/>
      <c r="P379" s="39"/>
      <c r="Q379" s="39"/>
      <c r="R379" s="39"/>
      <c r="S379" s="39"/>
      <c r="T379" s="39"/>
    </row>
    <row r="380" spans="1:20" ht="15.75">
      <c r="A380" s="13">
        <v>52717</v>
      </c>
      <c r="B380" s="47">
        <v>30</v>
      </c>
      <c r="C380" s="38">
        <v>141.29300000000001</v>
      </c>
      <c r="D380" s="38">
        <v>267.99299999999999</v>
      </c>
      <c r="E380" s="44">
        <v>829.71400000000006</v>
      </c>
      <c r="F380" s="38">
        <v>1239</v>
      </c>
      <c r="G380" s="38">
        <v>100</v>
      </c>
      <c r="H380" s="46">
        <v>600</v>
      </c>
      <c r="I380" s="38">
        <v>695</v>
      </c>
      <c r="J380" s="38">
        <v>50</v>
      </c>
      <c r="K380" s="39"/>
      <c r="L380" s="39"/>
      <c r="M380" s="39"/>
      <c r="N380" s="39"/>
      <c r="O380" s="39"/>
      <c r="P380" s="39"/>
      <c r="Q380" s="39"/>
      <c r="R380" s="39"/>
      <c r="S380" s="39"/>
      <c r="T380" s="39"/>
    </row>
    <row r="381" spans="1:20" ht="15.75">
      <c r="A381" s="13">
        <v>52748</v>
      </c>
      <c r="B381" s="47">
        <v>31</v>
      </c>
      <c r="C381" s="38">
        <v>194.20500000000001</v>
      </c>
      <c r="D381" s="38">
        <v>267.46600000000001</v>
      </c>
      <c r="E381" s="44">
        <v>812.32899999999995</v>
      </c>
      <c r="F381" s="38">
        <v>1274</v>
      </c>
      <c r="G381" s="38">
        <v>75</v>
      </c>
      <c r="H381" s="46">
        <v>600</v>
      </c>
      <c r="I381" s="38">
        <v>695</v>
      </c>
      <c r="J381" s="38">
        <v>50</v>
      </c>
      <c r="K381" s="39"/>
      <c r="L381" s="39"/>
      <c r="M381" s="39"/>
      <c r="N381" s="39"/>
      <c r="O381" s="39"/>
      <c r="P381" s="39"/>
      <c r="Q381" s="39"/>
      <c r="R381" s="39"/>
      <c r="S381" s="39"/>
      <c r="T381" s="39"/>
    </row>
    <row r="382" spans="1:20" ht="15.75">
      <c r="A382" s="13">
        <v>52778</v>
      </c>
      <c r="B382" s="47">
        <v>30</v>
      </c>
      <c r="C382" s="38">
        <v>194.20500000000001</v>
      </c>
      <c r="D382" s="38">
        <v>267.46600000000001</v>
      </c>
      <c r="E382" s="44">
        <v>812.32899999999995</v>
      </c>
      <c r="F382" s="38">
        <v>1274</v>
      </c>
      <c r="G382" s="38">
        <v>50</v>
      </c>
      <c r="H382" s="46">
        <v>600</v>
      </c>
      <c r="I382" s="38">
        <v>695</v>
      </c>
      <c r="J382" s="38">
        <v>50</v>
      </c>
      <c r="K382" s="39"/>
      <c r="L382" s="39"/>
      <c r="M382" s="39"/>
      <c r="N382" s="39"/>
      <c r="O382" s="39"/>
      <c r="P382" s="39"/>
      <c r="Q382" s="39"/>
      <c r="R382" s="39"/>
      <c r="S382" s="39"/>
      <c r="T382" s="39"/>
    </row>
    <row r="383" spans="1:20" ht="15.75">
      <c r="A383" s="13">
        <v>52809</v>
      </c>
      <c r="B383" s="47">
        <v>31</v>
      </c>
      <c r="C383" s="38">
        <v>194.20500000000001</v>
      </c>
      <c r="D383" s="38">
        <v>267.46600000000001</v>
      </c>
      <c r="E383" s="44">
        <v>812.32899999999995</v>
      </c>
      <c r="F383" s="38">
        <v>1274</v>
      </c>
      <c r="G383" s="38">
        <v>50</v>
      </c>
      <c r="H383" s="46">
        <v>600</v>
      </c>
      <c r="I383" s="38">
        <v>695</v>
      </c>
      <c r="J383" s="38">
        <v>0</v>
      </c>
      <c r="K383" s="39"/>
      <c r="L383" s="39"/>
      <c r="M383" s="39"/>
      <c r="N383" s="39"/>
      <c r="O383" s="39"/>
      <c r="P383" s="39"/>
      <c r="Q383" s="39"/>
      <c r="R383" s="39"/>
      <c r="S383" s="39"/>
      <c r="T383" s="39"/>
    </row>
    <row r="384" spans="1:20" ht="15.75">
      <c r="A384" s="13">
        <v>52840</v>
      </c>
      <c r="B384" s="47">
        <v>31</v>
      </c>
      <c r="C384" s="38">
        <v>194.20500000000001</v>
      </c>
      <c r="D384" s="38">
        <v>267.46600000000001</v>
      </c>
      <c r="E384" s="44">
        <v>812.32899999999995</v>
      </c>
      <c r="F384" s="38">
        <v>1274</v>
      </c>
      <c r="G384" s="38">
        <v>50</v>
      </c>
      <c r="H384" s="46">
        <v>600</v>
      </c>
      <c r="I384" s="38">
        <v>695</v>
      </c>
      <c r="J384" s="38">
        <v>0</v>
      </c>
      <c r="K384" s="39"/>
      <c r="L384" s="39"/>
      <c r="M384" s="39"/>
      <c r="N384" s="39"/>
      <c r="O384" s="39"/>
      <c r="P384" s="39"/>
      <c r="Q384" s="39"/>
      <c r="R384" s="39"/>
      <c r="S384" s="39"/>
      <c r="T384" s="39"/>
    </row>
    <row r="385" spans="1:20" ht="15.75">
      <c r="A385" s="13">
        <v>52870</v>
      </c>
      <c r="B385" s="47">
        <v>30</v>
      </c>
      <c r="C385" s="38">
        <v>194.20500000000001</v>
      </c>
      <c r="D385" s="38">
        <v>267.46600000000001</v>
      </c>
      <c r="E385" s="44">
        <v>812.32899999999995</v>
      </c>
      <c r="F385" s="38">
        <v>1274</v>
      </c>
      <c r="G385" s="38">
        <v>50</v>
      </c>
      <c r="H385" s="46">
        <v>600</v>
      </c>
      <c r="I385" s="38">
        <v>695</v>
      </c>
      <c r="J385" s="38">
        <v>0</v>
      </c>
      <c r="K385" s="39"/>
      <c r="L385" s="39"/>
      <c r="M385" s="39"/>
      <c r="N385" s="39"/>
      <c r="O385" s="39"/>
      <c r="P385" s="39"/>
      <c r="Q385" s="39"/>
      <c r="R385" s="39"/>
      <c r="S385" s="39"/>
      <c r="T385" s="39"/>
    </row>
    <row r="386" spans="1:20" ht="15.75">
      <c r="A386" s="13">
        <v>52901</v>
      </c>
      <c r="B386" s="47">
        <v>31</v>
      </c>
      <c r="C386" s="38">
        <v>131.881</v>
      </c>
      <c r="D386" s="38">
        <v>277.16699999999997</v>
      </c>
      <c r="E386" s="44">
        <v>829.952</v>
      </c>
      <c r="F386" s="38">
        <v>1239</v>
      </c>
      <c r="G386" s="38">
        <v>75</v>
      </c>
      <c r="H386" s="46">
        <v>600</v>
      </c>
      <c r="I386" s="38">
        <v>695</v>
      </c>
      <c r="J386" s="38">
        <v>0</v>
      </c>
      <c r="K386" s="39"/>
      <c r="L386" s="39"/>
      <c r="M386" s="39"/>
      <c r="N386" s="39"/>
      <c r="O386" s="39"/>
      <c r="P386" s="39"/>
      <c r="Q386" s="39"/>
      <c r="R386" s="39"/>
      <c r="S386" s="39"/>
      <c r="T386" s="39"/>
    </row>
    <row r="387" spans="1:20" ht="15.75">
      <c r="A387" s="13">
        <v>52931</v>
      </c>
      <c r="B387" s="47">
        <v>30</v>
      </c>
      <c r="C387" s="38">
        <v>122.58</v>
      </c>
      <c r="D387" s="38">
        <v>297.94099999999997</v>
      </c>
      <c r="E387" s="44">
        <v>729.47900000000004</v>
      </c>
      <c r="F387" s="38">
        <v>1150</v>
      </c>
      <c r="G387" s="38">
        <v>100</v>
      </c>
      <c r="H387" s="46">
        <v>600</v>
      </c>
      <c r="I387" s="38">
        <v>695</v>
      </c>
      <c r="J387" s="38">
        <v>50</v>
      </c>
      <c r="K387" s="39"/>
      <c r="L387" s="39"/>
      <c r="M387" s="39"/>
      <c r="N387" s="39"/>
      <c r="O387" s="39"/>
      <c r="P387" s="39"/>
      <c r="Q387" s="39"/>
      <c r="R387" s="39"/>
      <c r="S387" s="39"/>
      <c r="T387" s="39"/>
    </row>
    <row r="388" spans="1:20" ht="15.75">
      <c r="A388" s="13">
        <v>52962</v>
      </c>
      <c r="B388" s="47">
        <v>31</v>
      </c>
      <c r="C388" s="38">
        <v>122.58</v>
      </c>
      <c r="D388" s="38">
        <v>297.94099999999997</v>
      </c>
      <c r="E388" s="44">
        <v>729.47900000000004</v>
      </c>
      <c r="F388" s="38">
        <v>1150</v>
      </c>
      <c r="G388" s="38">
        <v>100</v>
      </c>
      <c r="H388" s="46">
        <v>600</v>
      </c>
      <c r="I388" s="38">
        <v>695</v>
      </c>
      <c r="J388" s="38">
        <v>50</v>
      </c>
      <c r="K388" s="39"/>
      <c r="L388" s="39"/>
      <c r="M388" s="39"/>
      <c r="N388" s="39"/>
      <c r="O388" s="39"/>
      <c r="P388" s="39"/>
      <c r="Q388" s="39"/>
      <c r="R388" s="39"/>
      <c r="S388" s="39"/>
      <c r="T388" s="39"/>
    </row>
    <row r="389" spans="1:20" ht="15.75">
      <c r="A389" s="13">
        <v>52993</v>
      </c>
      <c r="B389" s="47">
        <v>31</v>
      </c>
      <c r="C389" s="38">
        <v>122.58</v>
      </c>
      <c r="D389" s="38">
        <v>297.94099999999997</v>
      </c>
      <c r="E389" s="44">
        <v>729.47900000000004</v>
      </c>
      <c r="F389" s="38">
        <v>1150</v>
      </c>
      <c r="G389" s="38">
        <v>100</v>
      </c>
      <c r="H389" s="46">
        <v>600</v>
      </c>
      <c r="I389" s="38">
        <v>695</v>
      </c>
      <c r="J389" s="38">
        <v>50</v>
      </c>
      <c r="K389" s="39"/>
      <c r="L389" s="39"/>
      <c r="M389" s="39"/>
      <c r="N389" s="39"/>
      <c r="O389" s="39"/>
      <c r="P389" s="39"/>
      <c r="Q389" s="39"/>
      <c r="R389" s="39"/>
      <c r="S389" s="39"/>
      <c r="T389" s="39"/>
    </row>
    <row r="390" spans="1:20" ht="15.75">
      <c r="A390" s="13">
        <v>53021</v>
      </c>
      <c r="B390" s="47">
        <v>28</v>
      </c>
      <c r="C390" s="38">
        <v>122.58</v>
      </c>
      <c r="D390" s="38">
        <v>297.94099999999997</v>
      </c>
      <c r="E390" s="44">
        <v>729.47900000000004</v>
      </c>
      <c r="F390" s="38">
        <v>1150</v>
      </c>
      <c r="G390" s="38">
        <v>100</v>
      </c>
      <c r="H390" s="46">
        <v>600</v>
      </c>
      <c r="I390" s="38">
        <v>695</v>
      </c>
      <c r="J390" s="38">
        <v>50</v>
      </c>
      <c r="K390" s="39"/>
      <c r="L390" s="39"/>
      <c r="M390" s="39"/>
      <c r="N390" s="39"/>
      <c r="O390" s="39"/>
      <c r="P390" s="39"/>
      <c r="Q390" s="39"/>
      <c r="R390" s="39"/>
      <c r="S390" s="39"/>
      <c r="T390" s="39"/>
    </row>
    <row r="391" spans="1:20" ht="15.75">
      <c r="A391" s="13">
        <v>53052</v>
      </c>
      <c r="B391" s="47">
        <v>31</v>
      </c>
      <c r="C391" s="38">
        <v>122.58</v>
      </c>
      <c r="D391" s="38">
        <v>297.94099999999997</v>
      </c>
      <c r="E391" s="44">
        <v>729.47900000000004</v>
      </c>
      <c r="F391" s="38">
        <v>1150</v>
      </c>
      <c r="G391" s="38">
        <v>100</v>
      </c>
      <c r="H391" s="46">
        <v>600</v>
      </c>
      <c r="I391" s="38">
        <v>695</v>
      </c>
      <c r="J391" s="38">
        <v>50</v>
      </c>
      <c r="K391" s="39"/>
      <c r="L391" s="39"/>
      <c r="M391" s="39"/>
      <c r="N391" s="39"/>
      <c r="O391" s="39"/>
      <c r="P391" s="39"/>
      <c r="Q391" s="39"/>
      <c r="R391" s="39"/>
      <c r="S391" s="39"/>
      <c r="T391" s="39"/>
    </row>
    <row r="392" spans="1:20" ht="15.75">
      <c r="A392" s="13">
        <v>53082</v>
      </c>
      <c r="B392" s="47">
        <v>30</v>
      </c>
      <c r="C392" s="38">
        <v>141.29300000000001</v>
      </c>
      <c r="D392" s="38">
        <v>267.99299999999999</v>
      </c>
      <c r="E392" s="44">
        <v>829.71400000000006</v>
      </c>
      <c r="F392" s="38">
        <v>1239</v>
      </c>
      <c r="G392" s="38">
        <v>100</v>
      </c>
      <c r="H392" s="46">
        <v>600</v>
      </c>
      <c r="I392" s="38">
        <v>695</v>
      </c>
      <c r="J392" s="38">
        <v>50</v>
      </c>
      <c r="K392" s="39"/>
      <c r="L392" s="39"/>
      <c r="M392" s="39"/>
      <c r="N392" s="39"/>
      <c r="O392" s="39"/>
      <c r="P392" s="39"/>
      <c r="Q392" s="39"/>
      <c r="R392" s="39"/>
      <c r="S392" s="39"/>
      <c r="T392" s="39"/>
    </row>
    <row r="393" spans="1:20" ht="15.75">
      <c r="A393" s="13">
        <v>53113</v>
      </c>
      <c r="B393" s="47">
        <v>31</v>
      </c>
      <c r="C393" s="38">
        <v>194.20500000000001</v>
      </c>
      <c r="D393" s="38">
        <v>267.46600000000001</v>
      </c>
      <c r="E393" s="44">
        <v>812.32899999999995</v>
      </c>
      <c r="F393" s="38">
        <v>1274</v>
      </c>
      <c r="G393" s="38">
        <v>75</v>
      </c>
      <c r="H393" s="46">
        <v>600</v>
      </c>
      <c r="I393" s="38">
        <v>695</v>
      </c>
      <c r="J393" s="38">
        <v>50</v>
      </c>
      <c r="K393" s="39"/>
      <c r="L393" s="39"/>
      <c r="M393" s="39"/>
      <c r="N393" s="39"/>
      <c r="O393" s="39"/>
      <c r="P393" s="39"/>
      <c r="Q393" s="39"/>
      <c r="R393" s="39"/>
      <c r="S393" s="39"/>
      <c r="T393" s="39"/>
    </row>
    <row r="394" spans="1:20" ht="15.75">
      <c r="A394" s="13">
        <v>53143</v>
      </c>
      <c r="B394" s="47">
        <v>30</v>
      </c>
      <c r="C394" s="38">
        <v>194.20500000000001</v>
      </c>
      <c r="D394" s="38">
        <v>267.46600000000001</v>
      </c>
      <c r="E394" s="44">
        <v>812.32899999999995</v>
      </c>
      <c r="F394" s="38">
        <v>1274</v>
      </c>
      <c r="G394" s="38">
        <v>50</v>
      </c>
      <c r="H394" s="46">
        <v>600</v>
      </c>
      <c r="I394" s="38">
        <v>695</v>
      </c>
      <c r="J394" s="38">
        <v>50</v>
      </c>
      <c r="K394" s="39"/>
      <c r="L394" s="39"/>
      <c r="M394" s="39"/>
      <c r="N394" s="39"/>
      <c r="O394" s="39"/>
      <c r="P394" s="39"/>
      <c r="Q394" s="39"/>
      <c r="R394" s="39"/>
      <c r="S394" s="39"/>
      <c r="T394" s="39"/>
    </row>
    <row r="395" spans="1:20" ht="15.75">
      <c r="A395" s="13">
        <v>53174</v>
      </c>
      <c r="B395" s="47">
        <v>31</v>
      </c>
      <c r="C395" s="38">
        <v>194.20500000000001</v>
      </c>
      <c r="D395" s="38">
        <v>267.46600000000001</v>
      </c>
      <c r="E395" s="44">
        <v>812.32899999999995</v>
      </c>
      <c r="F395" s="38">
        <v>1274</v>
      </c>
      <c r="G395" s="38">
        <v>50</v>
      </c>
      <c r="H395" s="46">
        <v>600</v>
      </c>
      <c r="I395" s="38">
        <v>695</v>
      </c>
      <c r="J395" s="38">
        <v>0</v>
      </c>
      <c r="K395" s="39"/>
      <c r="L395" s="39"/>
      <c r="M395" s="39"/>
      <c r="N395" s="39"/>
      <c r="O395" s="39"/>
      <c r="P395" s="39"/>
      <c r="Q395" s="39"/>
      <c r="R395" s="39"/>
      <c r="S395" s="39"/>
      <c r="T395" s="39"/>
    </row>
    <row r="396" spans="1:20" ht="15.75">
      <c r="A396" s="13">
        <v>53205</v>
      </c>
      <c r="B396" s="47">
        <v>31</v>
      </c>
      <c r="C396" s="38">
        <v>194.20500000000001</v>
      </c>
      <c r="D396" s="38">
        <v>267.46600000000001</v>
      </c>
      <c r="E396" s="44">
        <v>812.32899999999995</v>
      </c>
      <c r="F396" s="38">
        <v>1274</v>
      </c>
      <c r="G396" s="38">
        <v>50</v>
      </c>
      <c r="H396" s="46">
        <v>600</v>
      </c>
      <c r="I396" s="38">
        <v>695</v>
      </c>
      <c r="J396" s="38">
        <v>0</v>
      </c>
      <c r="K396" s="39"/>
      <c r="L396" s="39"/>
      <c r="M396" s="39"/>
      <c r="N396" s="39"/>
      <c r="O396" s="39"/>
      <c r="P396" s="39"/>
      <c r="Q396" s="39"/>
      <c r="R396" s="39"/>
      <c r="S396" s="39"/>
      <c r="T396" s="39"/>
    </row>
    <row r="397" spans="1:20" ht="15.75">
      <c r="A397" s="13">
        <v>53235</v>
      </c>
      <c r="B397" s="47">
        <v>30</v>
      </c>
      <c r="C397" s="38">
        <v>194.20500000000001</v>
      </c>
      <c r="D397" s="38">
        <v>267.46600000000001</v>
      </c>
      <c r="E397" s="44">
        <v>812.32899999999995</v>
      </c>
      <c r="F397" s="38">
        <v>1274</v>
      </c>
      <c r="G397" s="38">
        <v>50</v>
      </c>
      <c r="H397" s="46">
        <v>600</v>
      </c>
      <c r="I397" s="38">
        <v>695</v>
      </c>
      <c r="J397" s="38">
        <v>0</v>
      </c>
      <c r="K397" s="39"/>
      <c r="L397" s="39"/>
      <c r="M397" s="39"/>
      <c r="N397" s="39"/>
      <c r="O397" s="39"/>
      <c r="P397" s="39"/>
      <c r="Q397" s="39"/>
      <c r="R397" s="39"/>
      <c r="S397" s="39"/>
      <c r="T397" s="39"/>
    </row>
    <row r="398" spans="1:20" ht="15.75">
      <c r="A398" s="13">
        <v>53266</v>
      </c>
      <c r="B398" s="47">
        <v>31</v>
      </c>
      <c r="C398" s="38">
        <v>131.881</v>
      </c>
      <c r="D398" s="38">
        <v>277.16699999999997</v>
      </c>
      <c r="E398" s="44">
        <v>829.952</v>
      </c>
      <c r="F398" s="38">
        <v>1239</v>
      </c>
      <c r="G398" s="38">
        <v>75</v>
      </c>
      <c r="H398" s="46">
        <v>600</v>
      </c>
      <c r="I398" s="38">
        <v>695</v>
      </c>
      <c r="J398" s="38">
        <v>0</v>
      </c>
      <c r="K398" s="39"/>
      <c r="L398" s="39"/>
      <c r="M398" s="39"/>
      <c r="N398" s="39"/>
      <c r="O398" s="39"/>
      <c r="P398" s="39"/>
      <c r="Q398" s="39"/>
      <c r="R398" s="39"/>
      <c r="S398" s="39"/>
      <c r="T398" s="39"/>
    </row>
    <row r="399" spans="1:20" ht="15.75">
      <c r="A399" s="13">
        <v>53296</v>
      </c>
      <c r="B399" s="47">
        <v>30</v>
      </c>
      <c r="C399" s="38">
        <v>122.58</v>
      </c>
      <c r="D399" s="38">
        <v>297.94099999999997</v>
      </c>
      <c r="E399" s="44">
        <v>729.47900000000004</v>
      </c>
      <c r="F399" s="38">
        <v>1150</v>
      </c>
      <c r="G399" s="38">
        <v>100</v>
      </c>
      <c r="H399" s="46">
        <v>600</v>
      </c>
      <c r="I399" s="38">
        <v>695</v>
      </c>
      <c r="J399" s="38">
        <v>50</v>
      </c>
      <c r="K399" s="39"/>
      <c r="L399" s="39"/>
      <c r="M399" s="39"/>
      <c r="N399" s="39"/>
      <c r="O399" s="39"/>
      <c r="P399" s="39"/>
      <c r="Q399" s="39"/>
      <c r="R399" s="39"/>
      <c r="S399" s="39"/>
      <c r="T399" s="39"/>
    </row>
    <row r="400" spans="1:20" ht="15.75">
      <c r="A400" s="13">
        <v>53327</v>
      </c>
      <c r="B400" s="47">
        <v>31</v>
      </c>
      <c r="C400" s="38">
        <v>122.58</v>
      </c>
      <c r="D400" s="38">
        <v>297.94099999999997</v>
      </c>
      <c r="E400" s="44">
        <v>729.47900000000004</v>
      </c>
      <c r="F400" s="38">
        <v>1150</v>
      </c>
      <c r="G400" s="38">
        <v>100</v>
      </c>
      <c r="H400" s="46">
        <v>600</v>
      </c>
      <c r="I400" s="38">
        <v>695</v>
      </c>
      <c r="J400" s="38">
        <v>50</v>
      </c>
      <c r="K400" s="39"/>
      <c r="L400" s="39"/>
      <c r="M400" s="39"/>
      <c r="N400" s="39"/>
      <c r="O400" s="39"/>
      <c r="P400" s="39"/>
      <c r="Q400" s="39"/>
      <c r="R400" s="39"/>
      <c r="S400" s="39"/>
      <c r="T400" s="39"/>
    </row>
    <row r="401" spans="1:20" ht="15.75">
      <c r="A401" s="13">
        <v>53358</v>
      </c>
      <c r="B401" s="47">
        <v>31</v>
      </c>
      <c r="C401" s="38">
        <v>122.58</v>
      </c>
      <c r="D401" s="38">
        <v>297.94099999999997</v>
      </c>
      <c r="E401" s="44">
        <v>729.47900000000004</v>
      </c>
      <c r="F401" s="38">
        <v>1150</v>
      </c>
      <c r="G401" s="38">
        <v>100</v>
      </c>
      <c r="H401" s="46">
        <v>600</v>
      </c>
      <c r="I401" s="38">
        <v>695</v>
      </c>
      <c r="J401" s="38">
        <v>50</v>
      </c>
      <c r="K401" s="39"/>
      <c r="L401" s="39"/>
      <c r="M401" s="39"/>
      <c r="N401" s="39"/>
      <c r="O401" s="39"/>
      <c r="P401" s="39"/>
      <c r="Q401" s="39"/>
      <c r="R401" s="39"/>
      <c r="S401" s="39"/>
      <c r="T401" s="39"/>
    </row>
    <row r="402" spans="1:20" ht="15.75">
      <c r="A402" s="13">
        <v>53386</v>
      </c>
      <c r="B402" s="47">
        <v>28</v>
      </c>
      <c r="C402" s="38">
        <v>122.58</v>
      </c>
      <c r="D402" s="38">
        <v>297.94099999999997</v>
      </c>
      <c r="E402" s="44">
        <v>729.47900000000004</v>
      </c>
      <c r="F402" s="38">
        <v>1150</v>
      </c>
      <c r="G402" s="38">
        <v>100</v>
      </c>
      <c r="H402" s="46">
        <v>600</v>
      </c>
      <c r="I402" s="38">
        <v>695</v>
      </c>
      <c r="J402" s="38">
        <v>50</v>
      </c>
      <c r="K402" s="39"/>
      <c r="L402" s="39"/>
      <c r="M402" s="39"/>
      <c r="N402" s="39"/>
      <c r="O402" s="39"/>
      <c r="P402" s="39"/>
      <c r="Q402" s="39"/>
      <c r="R402" s="39"/>
      <c r="S402" s="39"/>
      <c r="T402" s="39"/>
    </row>
    <row r="403" spans="1:20" ht="15.75">
      <c r="A403" s="13">
        <v>53417</v>
      </c>
      <c r="B403" s="47">
        <v>31</v>
      </c>
      <c r="C403" s="38">
        <v>122.58</v>
      </c>
      <c r="D403" s="38">
        <v>297.94099999999997</v>
      </c>
      <c r="E403" s="44">
        <v>729.47900000000004</v>
      </c>
      <c r="F403" s="38">
        <v>1150</v>
      </c>
      <c r="G403" s="38">
        <v>100</v>
      </c>
      <c r="H403" s="46">
        <v>600</v>
      </c>
      <c r="I403" s="38">
        <v>695</v>
      </c>
      <c r="J403" s="38">
        <v>50</v>
      </c>
      <c r="K403" s="39"/>
      <c r="L403" s="39"/>
      <c r="M403" s="39"/>
      <c r="N403" s="39"/>
      <c r="O403" s="39"/>
      <c r="P403" s="39"/>
      <c r="Q403" s="39"/>
      <c r="R403" s="39"/>
      <c r="S403" s="39"/>
      <c r="T403" s="39"/>
    </row>
    <row r="404" spans="1:20" ht="15.75">
      <c r="A404" s="13">
        <v>53447</v>
      </c>
      <c r="B404" s="47">
        <v>30</v>
      </c>
      <c r="C404" s="38">
        <v>141.29300000000001</v>
      </c>
      <c r="D404" s="38">
        <v>267.99299999999999</v>
      </c>
      <c r="E404" s="44">
        <v>829.71400000000006</v>
      </c>
      <c r="F404" s="38">
        <v>1239</v>
      </c>
      <c r="G404" s="38">
        <v>100</v>
      </c>
      <c r="H404" s="46">
        <v>600</v>
      </c>
      <c r="I404" s="38">
        <v>695</v>
      </c>
      <c r="J404" s="38">
        <v>50</v>
      </c>
      <c r="K404" s="39"/>
      <c r="L404" s="39"/>
      <c r="M404" s="39"/>
      <c r="N404" s="39"/>
      <c r="O404" s="39"/>
      <c r="P404" s="39"/>
      <c r="Q404" s="39"/>
      <c r="R404" s="39"/>
      <c r="S404" s="39"/>
      <c r="T404" s="39"/>
    </row>
    <row r="405" spans="1:20" ht="15.75">
      <c r="A405" s="13">
        <v>53478</v>
      </c>
      <c r="B405" s="47">
        <v>31</v>
      </c>
      <c r="C405" s="38">
        <v>194.20500000000001</v>
      </c>
      <c r="D405" s="38">
        <v>267.46600000000001</v>
      </c>
      <c r="E405" s="44">
        <v>812.32899999999995</v>
      </c>
      <c r="F405" s="38">
        <v>1274</v>
      </c>
      <c r="G405" s="38">
        <v>75</v>
      </c>
      <c r="H405" s="46">
        <v>600</v>
      </c>
      <c r="I405" s="38">
        <v>695</v>
      </c>
      <c r="J405" s="38">
        <v>50</v>
      </c>
      <c r="K405" s="39"/>
      <c r="L405" s="39"/>
      <c r="M405" s="39"/>
      <c r="N405" s="39"/>
      <c r="O405" s="39"/>
      <c r="P405" s="39"/>
      <c r="Q405" s="39"/>
      <c r="R405" s="39"/>
      <c r="S405" s="39"/>
      <c r="T405" s="39"/>
    </row>
    <row r="406" spans="1:20" ht="15.75">
      <c r="A406" s="13">
        <v>53508</v>
      </c>
      <c r="B406" s="47">
        <v>30</v>
      </c>
      <c r="C406" s="38">
        <v>194.20500000000001</v>
      </c>
      <c r="D406" s="38">
        <v>267.46600000000001</v>
      </c>
      <c r="E406" s="44">
        <v>812.32899999999995</v>
      </c>
      <c r="F406" s="38">
        <v>1274</v>
      </c>
      <c r="G406" s="38">
        <v>50</v>
      </c>
      <c r="H406" s="46">
        <v>600</v>
      </c>
      <c r="I406" s="38">
        <v>695</v>
      </c>
      <c r="J406" s="38">
        <v>50</v>
      </c>
      <c r="K406" s="39"/>
      <c r="L406" s="39"/>
      <c r="M406" s="39"/>
      <c r="N406" s="39"/>
      <c r="O406" s="39"/>
      <c r="P406" s="39"/>
      <c r="Q406" s="39"/>
      <c r="R406" s="39"/>
      <c r="S406" s="39"/>
      <c r="T406" s="39"/>
    </row>
    <row r="407" spans="1:20" ht="15.75">
      <c r="A407" s="13">
        <v>53539</v>
      </c>
      <c r="B407" s="47">
        <v>31</v>
      </c>
      <c r="C407" s="38">
        <v>194.20500000000001</v>
      </c>
      <c r="D407" s="38">
        <v>267.46600000000001</v>
      </c>
      <c r="E407" s="44">
        <v>812.32899999999995</v>
      </c>
      <c r="F407" s="38">
        <v>1274</v>
      </c>
      <c r="G407" s="38">
        <v>50</v>
      </c>
      <c r="H407" s="46">
        <v>600</v>
      </c>
      <c r="I407" s="38">
        <v>695</v>
      </c>
      <c r="J407" s="38">
        <v>0</v>
      </c>
      <c r="K407" s="39"/>
      <c r="L407" s="39"/>
      <c r="M407" s="39"/>
      <c r="N407" s="39"/>
      <c r="O407" s="39"/>
      <c r="P407" s="39"/>
      <c r="Q407" s="39"/>
      <c r="R407" s="39"/>
      <c r="S407" s="39"/>
      <c r="T407" s="39"/>
    </row>
    <row r="408" spans="1:20" ht="15.75">
      <c r="A408" s="13">
        <v>53570</v>
      </c>
      <c r="B408" s="47">
        <v>31</v>
      </c>
      <c r="C408" s="38">
        <v>194.20500000000001</v>
      </c>
      <c r="D408" s="38">
        <v>267.46600000000001</v>
      </c>
      <c r="E408" s="44">
        <v>812.32899999999995</v>
      </c>
      <c r="F408" s="38">
        <v>1274</v>
      </c>
      <c r="G408" s="38">
        <v>50</v>
      </c>
      <c r="H408" s="46">
        <v>600</v>
      </c>
      <c r="I408" s="38">
        <v>695</v>
      </c>
      <c r="J408" s="38">
        <v>0</v>
      </c>
      <c r="K408" s="39"/>
      <c r="L408" s="39"/>
      <c r="M408" s="39"/>
      <c r="N408" s="39"/>
      <c r="O408" s="39"/>
      <c r="P408" s="39"/>
      <c r="Q408" s="39"/>
      <c r="R408" s="39"/>
      <c r="S408" s="39"/>
      <c r="T408" s="39"/>
    </row>
    <row r="409" spans="1:20" ht="15.75">
      <c r="A409" s="13">
        <v>53600</v>
      </c>
      <c r="B409" s="47">
        <v>30</v>
      </c>
      <c r="C409" s="38">
        <v>194.20500000000001</v>
      </c>
      <c r="D409" s="38">
        <v>267.46600000000001</v>
      </c>
      <c r="E409" s="44">
        <v>812.32899999999995</v>
      </c>
      <c r="F409" s="38">
        <v>1274</v>
      </c>
      <c r="G409" s="38">
        <v>50</v>
      </c>
      <c r="H409" s="46">
        <v>600</v>
      </c>
      <c r="I409" s="38">
        <v>695</v>
      </c>
      <c r="J409" s="38">
        <v>0</v>
      </c>
      <c r="K409" s="39"/>
      <c r="L409" s="39"/>
      <c r="M409" s="39"/>
      <c r="N409" s="39"/>
      <c r="O409" s="39"/>
      <c r="P409" s="39"/>
      <c r="Q409" s="39"/>
      <c r="R409" s="39"/>
      <c r="S409" s="39"/>
      <c r="T409" s="39"/>
    </row>
    <row r="410" spans="1:20" ht="15.75">
      <c r="A410" s="13">
        <v>53631</v>
      </c>
      <c r="B410" s="47">
        <v>31</v>
      </c>
      <c r="C410" s="38">
        <v>131.881</v>
      </c>
      <c r="D410" s="38">
        <v>277.16699999999997</v>
      </c>
      <c r="E410" s="44">
        <v>829.952</v>
      </c>
      <c r="F410" s="38">
        <v>1239</v>
      </c>
      <c r="G410" s="38">
        <v>75</v>
      </c>
      <c r="H410" s="46">
        <v>600</v>
      </c>
      <c r="I410" s="38">
        <v>695</v>
      </c>
      <c r="J410" s="38">
        <v>0</v>
      </c>
      <c r="K410" s="39"/>
      <c r="L410" s="39"/>
      <c r="M410" s="39"/>
      <c r="N410" s="39"/>
      <c r="O410" s="39"/>
      <c r="P410" s="39"/>
      <c r="Q410" s="39"/>
      <c r="R410" s="39"/>
      <c r="S410" s="39"/>
      <c r="T410" s="39"/>
    </row>
    <row r="411" spans="1:20" ht="15.75">
      <c r="A411" s="13">
        <v>53661</v>
      </c>
      <c r="B411" s="47">
        <v>30</v>
      </c>
      <c r="C411" s="38">
        <v>122.58</v>
      </c>
      <c r="D411" s="38">
        <v>297.94099999999997</v>
      </c>
      <c r="E411" s="44">
        <v>729.47900000000004</v>
      </c>
      <c r="F411" s="38">
        <v>1150</v>
      </c>
      <c r="G411" s="38">
        <v>100</v>
      </c>
      <c r="H411" s="46">
        <v>600</v>
      </c>
      <c r="I411" s="38">
        <v>695</v>
      </c>
      <c r="J411" s="38">
        <v>50</v>
      </c>
      <c r="K411" s="39"/>
      <c r="L411" s="39"/>
      <c r="M411" s="39"/>
      <c r="N411" s="39"/>
      <c r="O411" s="39"/>
      <c r="P411" s="39"/>
      <c r="Q411" s="39"/>
      <c r="R411" s="39"/>
      <c r="S411" s="39"/>
      <c r="T411" s="39"/>
    </row>
    <row r="412" spans="1:20" ht="15.75">
      <c r="A412" s="13">
        <v>53692</v>
      </c>
      <c r="B412" s="47">
        <v>31</v>
      </c>
      <c r="C412" s="38">
        <v>122.58</v>
      </c>
      <c r="D412" s="38">
        <v>297.94099999999997</v>
      </c>
      <c r="E412" s="44">
        <v>729.47900000000004</v>
      </c>
      <c r="F412" s="38">
        <v>1150</v>
      </c>
      <c r="G412" s="38">
        <v>100</v>
      </c>
      <c r="H412" s="46">
        <v>600</v>
      </c>
      <c r="I412" s="38">
        <v>695</v>
      </c>
      <c r="J412" s="38">
        <v>50</v>
      </c>
      <c r="K412" s="39"/>
      <c r="L412" s="39"/>
      <c r="M412" s="39"/>
      <c r="N412" s="39"/>
      <c r="O412" s="39"/>
      <c r="P412" s="39"/>
      <c r="Q412" s="39"/>
      <c r="R412" s="39"/>
      <c r="S412" s="39"/>
      <c r="T412" s="39"/>
    </row>
    <row r="413" spans="1:20" ht="15.75">
      <c r="A413" s="13">
        <v>53723</v>
      </c>
      <c r="B413" s="47">
        <v>31</v>
      </c>
      <c r="C413" s="38">
        <v>122.58</v>
      </c>
      <c r="D413" s="38">
        <v>297.94099999999997</v>
      </c>
      <c r="E413" s="44">
        <v>729.47900000000004</v>
      </c>
      <c r="F413" s="38">
        <v>1150</v>
      </c>
      <c r="G413" s="38">
        <v>100</v>
      </c>
      <c r="H413" s="46">
        <v>600</v>
      </c>
      <c r="I413" s="38">
        <v>695</v>
      </c>
      <c r="J413" s="38">
        <v>50</v>
      </c>
      <c r="K413" s="39"/>
      <c r="L413" s="39"/>
      <c r="M413" s="39"/>
      <c r="N413" s="39"/>
      <c r="O413" s="39"/>
      <c r="P413" s="39"/>
      <c r="Q413" s="39"/>
      <c r="R413" s="39"/>
      <c r="S413" s="39"/>
      <c r="T413" s="39"/>
    </row>
    <row r="414" spans="1:20" ht="15.75">
      <c r="A414" s="13">
        <v>53751</v>
      </c>
      <c r="B414" s="47">
        <v>28</v>
      </c>
      <c r="C414" s="38">
        <v>122.58</v>
      </c>
      <c r="D414" s="38">
        <v>297.94099999999997</v>
      </c>
      <c r="E414" s="44">
        <v>729.47900000000004</v>
      </c>
      <c r="F414" s="38">
        <v>1150</v>
      </c>
      <c r="G414" s="38">
        <v>100</v>
      </c>
      <c r="H414" s="46">
        <v>600</v>
      </c>
      <c r="I414" s="38">
        <v>695</v>
      </c>
      <c r="J414" s="38">
        <v>50</v>
      </c>
      <c r="K414" s="39"/>
      <c r="L414" s="39"/>
      <c r="M414" s="39"/>
      <c r="N414" s="39"/>
      <c r="O414" s="39"/>
      <c r="P414" s="39"/>
      <c r="Q414" s="39"/>
      <c r="R414" s="39"/>
      <c r="S414" s="39"/>
      <c r="T414" s="39"/>
    </row>
    <row r="415" spans="1:20" ht="15.75">
      <c r="A415" s="13">
        <v>53782</v>
      </c>
      <c r="B415" s="47">
        <v>31</v>
      </c>
      <c r="C415" s="38">
        <v>122.58</v>
      </c>
      <c r="D415" s="38">
        <v>297.94099999999997</v>
      </c>
      <c r="E415" s="44">
        <v>729.47900000000004</v>
      </c>
      <c r="F415" s="38">
        <v>1150</v>
      </c>
      <c r="G415" s="38">
        <v>100</v>
      </c>
      <c r="H415" s="46">
        <v>600</v>
      </c>
      <c r="I415" s="38">
        <v>695</v>
      </c>
      <c r="J415" s="38">
        <v>50</v>
      </c>
      <c r="K415" s="39"/>
      <c r="L415" s="39"/>
      <c r="M415" s="39"/>
      <c r="N415" s="39"/>
      <c r="O415" s="39"/>
      <c r="P415" s="39"/>
      <c r="Q415" s="39"/>
      <c r="R415" s="39"/>
      <c r="S415" s="39"/>
      <c r="T415" s="39"/>
    </row>
    <row r="416" spans="1:20" ht="15.75">
      <c r="A416" s="13">
        <v>53812</v>
      </c>
      <c r="B416" s="47">
        <v>30</v>
      </c>
      <c r="C416" s="38">
        <v>141.29300000000001</v>
      </c>
      <c r="D416" s="38">
        <v>267.99299999999999</v>
      </c>
      <c r="E416" s="44">
        <v>829.71400000000006</v>
      </c>
      <c r="F416" s="38">
        <v>1239</v>
      </c>
      <c r="G416" s="38">
        <v>100</v>
      </c>
      <c r="H416" s="46">
        <v>600</v>
      </c>
      <c r="I416" s="38">
        <v>695</v>
      </c>
      <c r="J416" s="38">
        <v>50</v>
      </c>
      <c r="K416" s="39"/>
      <c r="L416" s="39"/>
      <c r="M416" s="39"/>
      <c r="N416" s="39"/>
      <c r="O416" s="39"/>
      <c r="P416" s="39"/>
      <c r="Q416" s="39"/>
      <c r="R416" s="39"/>
      <c r="S416" s="39"/>
      <c r="T416" s="39"/>
    </row>
    <row r="417" spans="1:20" ht="15.75">
      <c r="A417" s="13">
        <v>53843</v>
      </c>
      <c r="B417" s="47">
        <v>31</v>
      </c>
      <c r="C417" s="38">
        <v>194.20500000000001</v>
      </c>
      <c r="D417" s="38">
        <v>267.46600000000001</v>
      </c>
      <c r="E417" s="44">
        <v>812.32899999999995</v>
      </c>
      <c r="F417" s="38">
        <v>1274</v>
      </c>
      <c r="G417" s="38">
        <v>75</v>
      </c>
      <c r="H417" s="46">
        <v>600</v>
      </c>
      <c r="I417" s="38">
        <v>695</v>
      </c>
      <c r="J417" s="38">
        <v>50</v>
      </c>
      <c r="K417" s="39"/>
      <c r="L417" s="39"/>
      <c r="M417" s="39"/>
      <c r="N417" s="39"/>
      <c r="O417" s="39"/>
      <c r="P417" s="39"/>
      <c r="Q417" s="39"/>
      <c r="R417" s="39"/>
      <c r="S417" s="39"/>
      <c r="T417" s="39"/>
    </row>
    <row r="418" spans="1:20" ht="15.75">
      <c r="A418" s="13">
        <v>53873</v>
      </c>
      <c r="B418" s="47">
        <v>30</v>
      </c>
      <c r="C418" s="38">
        <v>194.20500000000001</v>
      </c>
      <c r="D418" s="38">
        <v>267.46600000000001</v>
      </c>
      <c r="E418" s="44">
        <v>812.32899999999995</v>
      </c>
      <c r="F418" s="38">
        <v>1274</v>
      </c>
      <c r="G418" s="38">
        <v>50</v>
      </c>
      <c r="H418" s="46">
        <v>600</v>
      </c>
      <c r="I418" s="38">
        <v>695</v>
      </c>
      <c r="J418" s="38">
        <v>50</v>
      </c>
      <c r="K418" s="39"/>
      <c r="L418" s="39"/>
      <c r="M418" s="39"/>
      <c r="N418" s="39"/>
      <c r="O418" s="39"/>
      <c r="P418" s="39"/>
      <c r="Q418" s="39"/>
      <c r="R418" s="39"/>
      <c r="S418" s="39"/>
      <c r="T418" s="39"/>
    </row>
    <row r="419" spans="1:20" ht="15.75">
      <c r="A419" s="13">
        <v>53904</v>
      </c>
      <c r="B419" s="47">
        <v>31</v>
      </c>
      <c r="C419" s="38">
        <v>194.20500000000001</v>
      </c>
      <c r="D419" s="38">
        <v>267.46600000000001</v>
      </c>
      <c r="E419" s="44">
        <v>812.32899999999995</v>
      </c>
      <c r="F419" s="38">
        <v>1274</v>
      </c>
      <c r="G419" s="38">
        <v>50</v>
      </c>
      <c r="H419" s="46">
        <v>600</v>
      </c>
      <c r="I419" s="38">
        <v>695</v>
      </c>
      <c r="J419" s="38">
        <v>0</v>
      </c>
      <c r="K419" s="39"/>
      <c r="L419" s="39"/>
      <c r="M419" s="39"/>
      <c r="N419" s="39"/>
      <c r="O419" s="39"/>
      <c r="P419" s="39"/>
      <c r="Q419" s="39"/>
      <c r="R419" s="39"/>
      <c r="S419" s="39"/>
      <c r="T419" s="39"/>
    </row>
    <row r="420" spans="1:20" ht="15.75">
      <c r="A420" s="13">
        <v>53935</v>
      </c>
      <c r="B420" s="47">
        <v>31</v>
      </c>
      <c r="C420" s="38">
        <v>194.20500000000001</v>
      </c>
      <c r="D420" s="38">
        <v>267.46600000000001</v>
      </c>
      <c r="E420" s="44">
        <v>812.32899999999995</v>
      </c>
      <c r="F420" s="38">
        <v>1274</v>
      </c>
      <c r="G420" s="38">
        <v>50</v>
      </c>
      <c r="H420" s="46">
        <v>600</v>
      </c>
      <c r="I420" s="38">
        <v>695</v>
      </c>
      <c r="J420" s="38">
        <v>0</v>
      </c>
      <c r="K420" s="39"/>
      <c r="L420" s="39"/>
      <c r="M420" s="39"/>
      <c r="N420" s="39"/>
      <c r="O420" s="39"/>
      <c r="P420" s="39"/>
      <c r="Q420" s="39"/>
      <c r="R420" s="39"/>
      <c r="S420" s="39"/>
      <c r="T420" s="39"/>
    </row>
    <row r="421" spans="1:20" ht="15.75">
      <c r="A421" s="13">
        <v>53965</v>
      </c>
      <c r="B421" s="47">
        <v>30</v>
      </c>
      <c r="C421" s="38">
        <v>194.20500000000001</v>
      </c>
      <c r="D421" s="38">
        <v>267.46600000000001</v>
      </c>
      <c r="E421" s="44">
        <v>812.32899999999995</v>
      </c>
      <c r="F421" s="38">
        <v>1274</v>
      </c>
      <c r="G421" s="38">
        <v>50</v>
      </c>
      <c r="H421" s="46">
        <v>600</v>
      </c>
      <c r="I421" s="38">
        <v>695</v>
      </c>
      <c r="J421" s="38">
        <v>0</v>
      </c>
      <c r="K421" s="39"/>
      <c r="L421" s="39"/>
      <c r="M421" s="39"/>
      <c r="N421" s="39"/>
      <c r="O421" s="39"/>
      <c r="P421" s="39"/>
      <c r="Q421" s="39"/>
      <c r="R421" s="39"/>
      <c r="S421" s="39"/>
      <c r="T421" s="39"/>
    </row>
    <row r="422" spans="1:20" ht="15.75">
      <c r="A422" s="13">
        <v>53996</v>
      </c>
      <c r="B422" s="47">
        <v>31</v>
      </c>
      <c r="C422" s="38">
        <v>131.881</v>
      </c>
      <c r="D422" s="38">
        <v>277.16699999999997</v>
      </c>
      <c r="E422" s="44">
        <v>829.952</v>
      </c>
      <c r="F422" s="38">
        <v>1239</v>
      </c>
      <c r="G422" s="38">
        <v>75</v>
      </c>
      <c r="H422" s="46">
        <v>600</v>
      </c>
      <c r="I422" s="38">
        <v>695</v>
      </c>
      <c r="J422" s="38">
        <v>0</v>
      </c>
      <c r="K422" s="39"/>
      <c r="L422" s="39"/>
      <c r="M422" s="39"/>
      <c r="N422" s="39"/>
      <c r="O422" s="39"/>
      <c r="P422" s="39"/>
      <c r="Q422" s="39"/>
      <c r="R422" s="39"/>
      <c r="S422" s="39"/>
      <c r="T422" s="39"/>
    </row>
    <row r="423" spans="1:20" ht="15.75">
      <c r="A423" s="13">
        <v>54026</v>
      </c>
      <c r="B423" s="47">
        <v>30</v>
      </c>
      <c r="C423" s="38">
        <v>122.58</v>
      </c>
      <c r="D423" s="38">
        <v>297.94099999999997</v>
      </c>
      <c r="E423" s="44">
        <v>729.47900000000004</v>
      </c>
      <c r="F423" s="38">
        <v>1150</v>
      </c>
      <c r="G423" s="38">
        <v>100</v>
      </c>
      <c r="H423" s="46">
        <v>600</v>
      </c>
      <c r="I423" s="38">
        <v>695</v>
      </c>
      <c r="J423" s="38">
        <v>50</v>
      </c>
      <c r="K423" s="39"/>
      <c r="L423" s="39"/>
      <c r="M423" s="39"/>
      <c r="N423" s="39"/>
      <c r="O423" s="39"/>
      <c r="P423" s="39"/>
      <c r="Q423" s="39"/>
      <c r="R423" s="39"/>
      <c r="S423" s="39"/>
      <c r="T423" s="39"/>
    </row>
    <row r="424" spans="1:20" ht="15.75">
      <c r="A424" s="13">
        <v>54057</v>
      </c>
      <c r="B424" s="47">
        <v>31</v>
      </c>
      <c r="C424" s="38">
        <v>122.58</v>
      </c>
      <c r="D424" s="38">
        <v>297.94099999999997</v>
      </c>
      <c r="E424" s="44">
        <v>729.47900000000004</v>
      </c>
      <c r="F424" s="38">
        <v>1150</v>
      </c>
      <c r="G424" s="38">
        <v>100</v>
      </c>
      <c r="H424" s="46">
        <v>600</v>
      </c>
      <c r="I424" s="38">
        <v>695</v>
      </c>
      <c r="J424" s="38">
        <v>50</v>
      </c>
      <c r="K424" s="39"/>
      <c r="L424" s="39"/>
      <c r="M424" s="39"/>
      <c r="N424" s="39"/>
      <c r="O424" s="39"/>
      <c r="P424" s="39"/>
      <c r="Q424" s="39"/>
      <c r="R424" s="39"/>
      <c r="S424" s="39"/>
      <c r="T424" s="39"/>
    </row>
    <row r="425" spans="1:20" ht="15.75">
      <c r="A425" s="13">
        <v>54088</v>
      </c>
      <c r="B425" s="47">
        <v>31</v>
      </c>
      <c r="C425" s="38">
        <v>122.58</v>
      </c>
      <c r="D425" s="38">
        <v>297.94099999999997</v>
      </c>
      <c r="E425" s="44">
        <v>729.47900000000004</v>
      </c>
      <c r="F425" s="38">
        <v>1150</v>
      </c>
      <c r="G425" s="38">
        <v>100</v>
      </c>
      <c r="H425" s="46">
        <v>600</v>
      </c>
      <c r="I425" s="38">
        <v>695</v>
      </c>
      <c r="J425" s="38">
        <v>50</v>
      </c>
      <c r="K425" s="39"/>
      <c r="L425" s="39"/>
      <c r="M425" s="39"/>
      <c r="N425" s="39"/>
      <c r="O425" s="39"/>
      <c r="P425" s="39"/>
      <c r="Q425" s="39"/>
      <c r="R425" s="39"/>
      <c r="S425" s="39"/>
      <c r="T425" s="39"/>
    </row>
    <row r="426" spans="1:20" ht="15.75">
      <c r="A426" s="13">
        <v>54116</v>
      </c>
      <c r="B426" s="47">
        <v>29</v>
      </c>
      <c r="C426" s="38">
        <v>122.58</v>
      </c>
      <c r="D426" s="38">
        <v>297.94099999999997</v>
      </c>
      <c r="E426" s="44">
        <v>729.47900000000004</v>
      </c>
      <c r="F426" s="38">
        <v>1150</v>
      </c>
      <c r="G426" s="38">
        <v>100</v>
      </c>
      <c r="H426" s="46">
        <v>600</v>
      </c>
      <c r="I426" s="38">
        <v>695</v>
      </c>
      <c r="J426" s="38">
        <v>50</v>
      </c>
      <c r="K426" s="39"/>
      <c r="L426" s="39"/>
      <c r="M426" s="39"/>
      <c r="N426" s="39"/>
      <c r="O426" s="39"/>
      <c r="P426" s="39"/>
      <c r="Q426" s="39"/>
      <c r="R426" s="39"/>
      <c r="S426" s="39"/>
      <c r="T426" s="39"/>
    </row>
    <row r="427" spans="1:20" ht="15.75">
      <c r="A427" s="13">
        <v>54148</v>
      </c>
      <c r="B427" s="47">
        <v>31</v>
      </c>
      <c r="C427" s="38">
        <v>122.58</v>
      </c>
      <c r="D427" s="38">
        <v>297.94099999999997</v>
      </c>
      <c r="E427" s="44">
        <v>729.47900000000004</v>
      </c>
      <c r="F427" s="38">
        <v>1150</v>
      </c>
      <c r="G427" s="38">
        <v>100</v>
      </c>
      <c r="H427" s="46">
        <v>600</v>
      </c>
      <c r="I427" s="38">
        <v>695</v>
      </c>
      <c r="J427" s="38">
        <v>50</v>
      </c>
      <c r="K427" s="39"/>
      <c r="L427" s="39"/>
      <c r="M427" s="39"/>
      <c r="N427" s="39"/>
      <c r="O427" s="39"/>
      <c r="P427" s="39"/>
      <c r="Q427" s="39"/>
      <c r="R427" s="39"/>
      <c r="S427" s="39"/>
      <c r="T427" s="39"/>
    </row>
    <row r="428" spans="1:20" ht="15.75">
      <c r="A428" s="13">
        <v>54178</v>
      </c>
      <c r="B428" s="47">
        <v>30</v>
      </c>
      <c r="C428" s="38">
        <v>141.29300000000001</v>
      </c>
      <c r="D428" s="38">
        <v>267.99299999999999</v>
      </c>
      <c r="E428" s="44">
        <v>829.71400000000006</v>
      </c>
      <c r="F428" s="38">
        <v>1239</v>
      </c>
      <c r="G428" s="38">
        <v>100</v>
      </c>
      <c r="H428" s="46">
        <v>600</v>
      </c>
      <c r="I428" s="38">
        <v>695</v>
      </c>
      <c r="J428" s="38">
        <v>50</v>
      </c>
      <c r="K428" s="39"/>
      <c r="L428" s="39"/>
      <c r="M428" s="39"/>
      <c r="N428" s="39"/>
      <c r="O428" s="39"/>
      <c r="P428" s="39"/>
      <c r="Q428" s="39"/>
      <c r="R428" s="39"/>
      <c r="S428" s="39"/>
      <c r="T428" s="39"/>
    </row>
    <row r="429" spans="1:20" ht="15.75">
      <c r="A429" s="13">
        <v>54209</v>
      </c>
      <c r="B429" s="47">
        <v>31</v>
      </c>
      <c r="C429" s="38">
        <v>194.20500000000001</v>
      </c>
      <c r="D429" s="38">
        <v>267.46600000000001</v>
      </c>
      <c r="E429" s="44">
        <v>812.32899999999995</v>
      </c>
      <c r="F429" s="38">
        <v>1274</v>
      </c>
      <c r="G429" s="38">
        <v>75</v>
      </c>
      <c r="H429" s="46">
        <v>600</v>
      </c>
      <c r="I429" s="38">
        <v>695</v>
      </c>
      <c r="J429" s="38">
        <v>50</v>
      </c>
      <c r="K429" s="39"/>
      <c r="L429" s="39"/>
      <c r="M429" s="39"/>
      <c r="N429" s="39"/>
      <c r="O429" s="39"/>
      <c r="P429" s="39"/>
      <c r="Q429" s="39"/>
      <c r="R429" s="39"/>
      <c r="S429" s="39"/>
      <c r="T429" s="39"/>
    </row>
    <row r="430" spans="1:20" ht="15.75">
      <c r="A430" s="13">
        <v>54239</v>
      </c>
      <c r="B430" s="47">
        <v>30</v>
      </c>
      <c r="C430" s="38">
        <v>194.20500000000001</v>
      </c>
      <c r="D430" s="38">
        <v>267.46600000000001</v>
      </c>
      <c r="E430" s="44">
        <v>812.32899999999995</v>
      </c>
      <c r="F430" s="38">
        <v>1274</v>
      </c>
      <c r="G430" s="38">
        <v>50</v>
      </c>
      <c r="H430" s="46">
        <v>600</v>
      </c>
      <c r="I430" s="38">
        <v>695</v>
      </c>
      <c r="J430" s="38">
        <v>50</v>
      </c>
      <c r="K430" s="39"/>
      <c r="L430" s="39"/>
      <c r="M430" s="39"/>
      <c r="N430" s="39"/>
      <c r="O430" s="39"/>
      <c r="P430" s="39"/>
      <c r="Q430" s="39"/>
      <c r="R430" s="39"/>
      <c r="S430" s="39"/>
      <c r="T430" s="39"/>
    </row>
    <row r="431" spans="1:20" ht="15.75">
      <c r="A431" s="13">
        <v>54270</v>
      </c>
      <c r="B431" s="47">
        <v>31</v>
      </c>
      <c r="C431" s="38">
        <v>194.20500000000001</v>
      </c>
      <c r="D431" s="38">
        <v>267.46600000000001</v>
      </c>
      <c r="E431" s="44">
        <v>812.32899999999995</v>
      </c>
      <c r="F431" s="38">
        <v>1274</v>
      </c>
      <c r="G431" s="38">
        <v>50</v>
      </c>
      <c r="H431" s="46">
        <v>600</v>
      </c>
      <c r="I431" s="38">
        <v>695</v>
      </c>
      <c r="J431" s="38">
        <v>0</v>
      </c>
      <c r="K431" s="39"/>
      <c r="L431" s="39"/>
      <c r="M431" s="39"/>
      <c r="N431" s="39"/>
      <c r="O431" s="39"/>
      <c r="P431" s="39"/>
      <c r="Q431" s="39"/>
      <c r="R431" s="39"/>
      <c r="S431" s="39"/>
      <c r="T431" s="39"/>
    </row>
    <row r="432" spans="1:20" ht="15.75">
      <c r="A432" s="13">
        <v>54301</v>
      </c>
      <c r="B432" s="47">
        <v>31</v>
      </c>
      <c r="C432" s="38">
        <v>194.20500000000001</v>
      </c>
      <c r="D432" s="38">
        <v>267.46600000000001</v>
      </c>
      <c r="E432" s="44">
        <v>812.32899999999995</v>
      </c>
      <c r="F432" s="38">
        <v>1274</v>
      </c>
      <c r="G432" s="38">
        <v>50</v>
      </c>
      <c r="H432" s="46">
        <v>600</v>
      </c>
      <c r="I432" s="38">
        <v>695</v>
      </c>
      <c r="J432" s="38">
        <v>0</v>
      </c>
      <c r="K432" s="39"/>
      <c r="L432" s="39"/>
      <c r="M432" s="39"/>
      <c r="N432" s="39"/>
      <c r="O432" s="39"/>
      <c r="P432" s="39"/>
      <c r="Q432" s="39"/>
      <c r="R432" s="39"/>
      <c r="S432" s="39"/>
      <c r="T432" s="39"/>
    </row>
    <row r="433" spans="1:20" ht="15.75">
      <c r="A433" s="13">
        <v>54331</v>
      </c>
      <c r="B433" s="47">
        <v>30</v>
      </c>
      <c r="C433" s="38">
        <v>194.20500000000001</v>
      </c>
      <c r="D433" s="38">
        <v>267.46600000000001</v>
      </c>
      <c r="E433" s="44">
        <v>812.32899999999995</v>
      </c>
      <c r="F433" s="38">
        <v>1274</v>
      </c>
      <c r="G433" s="38">
        <v>50</v>
      </c>
      <c r="H433" s="46">
        <v>600</v>
      </c>
      <c r="I433" s="38">
        <v>695</v>
      </c>
      <c r="J433" s="38">
        <v>0</v>
      </c>
      <c r="K433" s="39"/>
      <c r="L433" s="39"/>
      <c r="M433" s="39"/>
      <c r="N433" s="39"/>
      <c r="O433" s="39"/>
      <c r="P433" s="39"/>
      <c r="Q433" s="39"/>
      <c r="R433" s="39"/>
      <c r="S433" s="39"/>
      <c r="T433" s="39"/>
    </row>
    <row r="434" spans="1:20" ht="15.75">
      <c r="A434" s="13">
        <v>54362</v>
      </c>
      <c r="B434" s="47">
        <v>31</v>
      </c>
      <c r="C434" s="38">
        <v>131.881</v>
      </c>
      <c r="D434" s="38">
        <v>277.16699999999997</v>
      </c>
      <c r="E434" s="44">
        <v>829.952</v>
      </c>
      <c r="F434" s="38">
        <v>1239</v>
      </c>
      <c r="G434" s="38">
        <v>75</v>
      </c>
      <c r="H434" s="46">
        <v>600</v>
      </c>
      <c r="I434" s="38">
        <v>695</v>
      </c>
      <c r="J434" s="38">
        <v>0</v>
      </c>
      <c r="K434" s="39"/>
      <c r="L434" s="39"/>
      <c r="M434" s="39"/>
      <c r="N434" s="39"/>
      <c r="O434" s="39"/>
      <c r="P434" s="39"/>
      <c r="Q434" s="39"/>
      <c r="R434" s="39"/>
      <c r="S434" s="39"/>
      <c r="T434" s="39"/>
    </row>
    <row r="435" spans="1:20" ht="15.75">
      <c r="A435" s="13">
        <v>54392</v>
      </c>
      <c r="B435" s="47">
        <v>30</v>
      </c>
      <c r="C435" s="38">
        <v>122.58</v>
      </c>
      <c r="D435" s="38">
        <v>297.94099999999997</v>
      </c>
      <c r="E435" s="44">
        <v>729.47900000000004</v>
      </c>
      <c r="F435" s="38">
        <v>1150</v>
      </c>
      <c r="G435" s="38">
        <v>100</v>
      </c>
      <c r="H435" s="46">
        <v>600</v>
      </c>
      <c r="I435" s="38">
        <v>695</v>
      </c>
      <c r="J435" s="38">
        <v>50</v>
      </c>
      <c r="K435" s="39"/>
      <c r="L435" s="39"/>
      <c r="M435" s="39"/>
      <c r="N435" s="39"/>
      <c r="O435" s="39"/>
      <c r="P435" s="39"/>
      <c r="Q435" s="39"/>
      <c r="R435" s="39"/>
      <c r="S435" s="39"/>
      <c r="T435" s="39"/>
    </row>
    <row r="436" spans="1:20" ht="15.75">
      <c r="A436" s="13">
        <v>54423</v>
      </c>
      <c r="B436" s="47">
        <v>31</v>
      </c>
      <c r="C436" s="38">
        <v>122.58</v>
      </c>
      <c r="D436" s="38">
        <v>297.94099999999997</v>
      </c>
      <c r="E436" s="44">
        <v>729.47900000000004</v>
      </c>
      <c r="F436" s="38">
        <v>1150</v>
      </c>
      <c r="G436" s="38">
        <v>100</v>
      </c>
      <c r="H436" s="46">
        <v>600</v>
      </c>
      <c r="I436" s="38">
        <v>695</v>
      </c>
      <c r="J436" s="38">
        <v>50</v>
      </c>
      <c r="K436" s="39"/>
      <c r="L436" s="39"/>
      <c r="M436" s="39"/>
      <c r="N436" s="39"/>
      <c r="O436" s="39"/>
      <c r="P436" s="39"/>
      <c r="Q436" s="39"/>
      <c r="R436" s="39"/>
      <c r="S436" s="39"/>
      <c r="T436" s="39"/>
    </row>
    <row r="437" spans="1:20" ht="15.75">
      <c r="A437" s="13">
        <v>54454</v>
      </c>
      <c r="B437" s="47">
        <v>31</v>
      </c>
      <c r="C437" s="38">
        <v>122.58</v>
      </c>
      <c r="D437" s="38">
        <v>297.94099999999997</v>
      </c>
      <c r="E437" s="44">
        <v>729.47900000000004</v>
      </c>
      <c r="F437" s="38">
        <v>1150</v>
      </c>
      <c r="G437" s="38">
        <v>100</v>
      </c>
      <c r="H437" s="46">
        <v>600</v>
      </c>
      <c r="I437" s="38">
        <v>695</v>
      </c>
      <c r="J437" s="38">
        <v>50</v>
      </c>
      <c r="K437" s="39"/>
      <c r="L437" s="39"/>
      <c r="M437" s="39"/>
      <c r="N437" s="39"/>
      <c r="O437" s="39"/>
      <c r="P437" s="39"/>
      <c r="Q437" s="39"/>
      <c r="R437" s="39"/>
      <c r="S437" s="39"/>
      <c r="T437" s="39"/>
    </row>
    <row r="438" spans="1:20" ht="15.75">
      <c r="A438" s="13">
        <v>54482</v>
      </c>
      <c r="B438" s="47">
        <v>28</v>
      </c>
      <c r="C438" s="38">
        <v>122.58</v>
      </c>
      <c r="D438" s="38">
        <v>297.94099999999997</v>
      </c>
      <c r="E438" s="44">
        <v>729.47900000000004</v>
      </c>
      <c r="F438" s="38">
        <v>1150</v>
      </c>
      <c r="G438" s="38">
        <v>100</v>
      </c>
      <c r="H438" s="46">
        <v>600</v>
      </c>
      <c r="I438" s="38">
        <v>695</v>
      </c>
      <c r="J438" s="38">
        <v>50</v>
      </c>
      <c r="K438" s="39"/>
      <c r="L438" s="39"/>
      <c r="M438" s="39"/>
      <c r="N438" s="39"/>
      <c r="O438" s="39"/>
      <c r="P438" s="39"/>
      <c r="Q438" s="39"/>
      <c r="R438" s="39"/>
      <c r="S438" s="39"/>
      <c r="T438" s="39"/>
    </row>
    <row r="439" spans="1:20" ht="15.75">
      <c r="A439" s="13">
        <v>54513</v>
      </c>
      <c r="B439" s="47">
        <v>31</v>
      </c>
      <c r="C439" s="38">
        <v>122.58</v>
      </c>
      <c r="D439" s="38">
        <v>297.94099999999997</v>
      </c>
      <c r="E439" s="44">
        <v>729.47900000000004</v>
      </c>
      <c r="F439" s="38">
        <v>1150</v>
      </c>
      <c r="G439" s="38">
        <v>100</v>
      </c>
      <c r="H439" s="46">
        <v>600</v>
      </c>
      <c r="I439" s="38">
        <v>695</v>
      </c>
      <c r="J439" s="38">
        <v>50</v>
      </c>
      <c r="K439" s="39"/>
      <c r="L439" s="39"/>
      <c r="M439" s="39"/>
      <c r="N439" s="39"/>
      <c r="O439" s="39"/>
      <c r="P439" s="39"/>
      <c r="Q439" s="39"/>
      <c r="R439" s="39"/>
      <c r="S439" s="39"/>
      <c r="T439" s="39"/>
    </row>
    <row r="440" spans="1:20" ht="15.75">
      <c r="A440" s="13">
        <v>54543</v>
      </c>
      <c r="B440" s="47">
        <v>30</v>
      </c>
      <c r="C440" s="38">
        <v>141.29300000000001</v>
      </c>
      <c r="D440" s="38">
        <v>267.99299999999999</v>
      </c>
      <c r="E440" s="44">
        <v>829.71400000000006</v>
      </c>
      <c r="F440" s="38">
        <v>1239</v>
      </c>
      <c r="G440" s="38">
        <v>100</v>
      </c>
      <c r="H440" s="46">
        <v>600</v>
      </c>
      <c r="I440" s="38">
        <v>695</v>
      </c>
      <c r="J440" s="38">
        <v>50</v>
      </c>
      <c r="K440" s="39"/>
      <c r="L440" s="39"/>
      <c r="M440" s="39"/>
      <c r="N440" s="39"/>
      <c r="O440" s="39"/>
      <c r="P440" s="39"/>
      <c r="Q440" s="39"/>
      <c r="R440" s="39"/>
      <c r="S440" s="39"/>
      <c r="T440" s="39"/>
    </row>
    <row r="441" spans="1:20" ht="15.75">
      <c r="A441" s="13">
        <v>54574</v>
      </c>
      <c r="B441" s="47">
        <v>31</v>
      </c>
      <c r="C441" s="38">
        <v>194.20500000000001</v>
      </c>
      <c r="D441" s="38">
        <v>267.46600000000001</v>
      </c>
      <c r="E441" s="44">
        <v>812.32899999999995</v>
      </c>
      <c r="F441" s="38">
        <v>1274</v>
      </c>
      <c r="G441" s="38">
        <v>75</v>
      </c>
      <c r="H441" s="46">
        <v>600</v>
      </c>
      <c r="I441" s="38">
        <v>695</v>
      </c>
      <c r="J441" s="38">
        <v>50</v>
      </c>
      <c r="K441" s="39"/>
      <c r="L441" s="39"/>
      <c r="M441" s="39"/>
      <c r="N441" s="39"/>
      <c r="O441" s="39"/>
      <c r="P441" s="39"/>
      <c r="Q441" s="39"/>
      <c r="R441" s="39"/>
      <c r="S441" s="39"/>
      <c r="T441" s="39"/>
    </row>
    <row r="442" spans="1:20" ht="15.75">
      <c r="A442" s="13">
        <v>54604</v>
      </c>
      <c r="B442" s="47">
        <v>30</v>
      </c>
      <c r="C442" s="38">
        <v>194.20500000000001</v>
      </c>
      <c r="D442" s="38">
        <v>267.46600000000001</v>
      </c>
      <c r="E442" s="44">
        <v>812.32899999999995</v>
      </c>
      <c r="F442" s="38">
        <v>1274</v>
      </c>
      <c r="G442" s="38">
        <v>50</v>
      </c>
      <c r="H442" s="46">
        <v>600</v>
      </c>
      <c r="I442" s="38">
        <v>695</v>
      </c>
      <c r="J442" s="38">
        <v>50</v>
      </c>
      <c r="K442" s="39"/>
      <c r="L442" s="39"/>
      <c r="M442" s="39"/>
      <c r="N442" s="39"/>
      <c r="O442" s="39"/>
      <c r="P442" s="39"/>
      <c r="Q442" s="39"/>
      <c r="R442" s="39"/>
      <c r="S442" s="39"/>
      <c r="T442" s="39"/>
    </row>
    <row r="443" spans="1:20" ht="15.75">
      <c r="A443" s="13">
        <v>54635</v>
      </c>
      <c r="B443" s="47">
        <v>31</v>
      </c>
      <c r="C443" s="38">
        <v>194.20500000000001</v>
      </c>
      <c r="D443" s="38">
        <v>267.46600000000001</v>
      </c>
      <c r="E443" s="44">
        <v>812.32899999999995</v>
      </c>
      <c r="F443" s="38">
        <v>1274</v>
      </c>
      <c r="G443" s="38">
        <v>50</v>
      </c>
      <c r="H443" s="46">
        <v>600</v>
      </c>
      <c r="I443" s="38">
        <v>695</v>
      </c>
      <c r="J443" s="38">
        <v>0</v>
      </c>
      <c r="K443" s="39"/>
      <c r="L443" s="39"/>
      <c r="M443" s="39"/>
      <c r="N443" s="39"/>
      <c r="O443" s="39"/>
      <c r="P443" s="39"/>
      <c r="Q443" s="39"/>
      <c r="R443" s="39"/>
      <c r="S443" s="39"/>
      <c r="T443" s="39"/>
    </row>
    <row r="444" spans="1:20" ht="15.75">
      <c r="A444" s="13">
        <v>54666</v>
      </c>
      <c r="B444" s="47">
        <v>31</v>
      </c>
      <c r="C444" s="38">
        <v>194.20500000000001</v>
      </c>
      <c r="D444" s="38">
        <v>267.46600000000001</v>
      </c>
      <c r="E444" s="44">
        <v>812.32899999999995</v>
      </c>
      <c r="F444" s="38">
        <v>1274</v>
      </c>
      <c r="G444" s="38">
        <v>50</v>
      </c>
      <c r="H444" s="46">
        <v>600</v>
      </c>
      <c r="I444" s="38">
        <v>695</v>
      </c>
      <c r="J444" s="38">
        <v>0</v>
      </c>
      <c r="K444" s="39"/>
      <c r="L444" s="39"/>
      <c r="M444" s="39"/>
      <c r="N444" s="39"/>
      <c r="O444" s="39"/>
      <c r="P444" s="39"/>
      <c r="Q444" s="39"/>
      <c r="R444" s="39"/>
      <c r="S444" s="39"/>
      <c r="T444" s="39"/>
    </row>
    <row r="445" spans="1:20" ht="15.75">
      <c r="A445" s="13">
        <v>54696</v>
      </c>
      <c r="B445" s="47">
        <v>30</v>
      </c>
      <c r="C445" s="38">
        <v>194.20500000000001</v>
      </c>
      <c r="D445" s="38">
        <v>267.46600000000001</v>
      </c>
      <c r="E445" s="44">
        <v>812.32899999999995</v>
      </c>
      <c r="F445" s="38">
        <v>1274</v>
      </c>
      <c r="G445" s="38">
        <v>50</v>
      </c>
      <c r="H445" s="46">
        <v>600</v>
      </c>
      <c r="I445" s="38">
        <v>695</v>
      </c>
      <c r="J445" s="38">
        <v>0</v>
      </c>
      <c r="K445" s="39"/>
      <c r="L445" s="39"/>
      <c r="M445" s="39"/>
      <c r="N445" s="39"/>
      <c r="O445" s="39"/>
      <c r="P445" s="39"/>
      <c r="Q445" s="39"/>
      <c r="R445" s="39"/>
      <c r="S445" s="39"/>
      <c r="T445" s="39"/>
    </row>
    <row r="446" spans="1:20" ht="15.75">
      <c r="A446" s="13">
        <v>54727</v>
      </c>
      <c r="B446" s="47">
        <v>31</v>
      </c>
      <c r="C446" s="38">
        <v>131.881</v>
      </c>
      <c r="D446" s="38">
        <v>277.16699999999997</v>
      </c>
      <c r="E446" s="44">
        <v>829.952</v>
      </c>
      <c r="F446" s="38">
        <v>1239</v>
      </c>
      <c r="G446" s="38">
        <v>75</v>
      </c>
      <c r="H446" s="46">
        <v>600</v>
      </c>
      <c r="I446" s="38">
        <v>695</v>
      </c>
      <c r="J446" s="38">
        <v>0</v>
      </c>
      <c r="K446" s="39"/>
      <c r="L446" s="39"/>
      <c r="M446" s="39"/>
      <c r="N446" s="39"/>
      <c r="O446" s="39"/>
      <c r="P446" s="39"/>
      <c r="Q446" s="39"/>
      <c r="R446" s="39"/>
      <c r="S446" s="39"/>
      <c r="T446" s="39"/>
    </row>
    <row r="447" spans="1:20" ht="15.75">
      <c r="A447" s="13">
        <v>54757</v>
      </c>
      <c r="B447" s="47">
        <v>30</v>
      </c>
      <c r="C447" s="38">
        <v>122.58</v>
      </c>
      <c r="D447" s="38">
        <v>297.94099999999997</v>
      </c>
      <c r="E447" s="44">
        <v>729.47900000000004</v>
      </c>
      <c r="F447" s="38">
        <v>1150</v>
      </c>
      <c r="G447" s="38">
        <v>100</v>
      </c>
      <c r="H447" s="46">
        <v>600</v>
      </c>
      <c r="I447" s="38">
        <v>695</v>
      </c>
      <c r="J447" s="38">
        <v>50</v>
      </c>
      <c r="K447" s="39"/>
      <c r="L447" s="39"/>
      <c r="M447" s="39"/>
      <c r="N447" s="39"/>
      <c r="O447" s="39"/>
      <c r="P447" s="39"/>
      <c r="Q447" s="39"/>
      <c r="R447" s="39"/>
      <c r="S447" s="39"/>
      <c r="T447" s="39"/>
    </row>
    <row r="448" spans="1:20" ht="15.75">
      <c r="A448" s="13">
        <v>54788</v>
      </c>
      <c r="B448" s="47">
        <v>31</v>
      </c>
      <c r="C448" s="38">
        <v>122.58</v>
      </c>
      <c r="D448" s="38">
        <v>297.94099999999997</v>
      </c>
      <c r="E448" s="44">
        <v>729.47900000000004</v>
      </c>
      <c r="F448" s="38">
        <v>1150</v>
      </c>
      <c r="G448" s="38">
        <v>100</v>
      </c>
      <c r="H448" s="46">
        <v>600</v>
      </c>
      <c r="I448" s="38">
        <v>695</v>
      </c>
      <c r="J448" s="38">
        <v>50</v>
      </c>
      <c r="K448" s="39"/>
      <c r="L448" s="39"/>
      <c r="M448" s="39"/>
      <c r="N448" s="39"/>
      <c r="O448" s="39"/>
      <c r="P448" s="39"/>
      <c r="Q448" s="39"/>
      <c r="R448" s="39"/>
      <c r="S448" s="39"/>
      <c r="T448" s="39"/>
    </row>
    <row r="449" spans="1:20" ht="15.75">
      <c r="A449" s="13">
        <v>54819</v>
      </c>
      <c r="B449" s="47">
        <v>31</v>
      </c>
      <c r="C449" s="38">
        <v>122.58</v>
      </c>
      <c r="D449" s="38">
        <v>297.94099999999997</v>
      </c>
      <c r="E449" s="44">
        <v>729.47900000000004</v>
      </c>
      <c r="F449" s="38">
        <v>1150</v>
      </c>
      <c r="G449" s="38">
        <v>100</v>
      </c>
      <c r="H449" s="46">
        <v>600</v>
      </c>
      <c r="I449" s="38">
        <v>695</v>
      </c>
      <c r="J449" s="38">
        <v>50</v>
      </c>
      <c r="K449" s="39"/>
      <c r="L449" s="39"/>
      <c r="M449" s="39"/>
      <c r="N449" s="39"/>
      <c r="O449" s="39"/>
      <c r="P449" s="39"/>
      <c r="Q449" s="39"/>
      <c r="R449" s="39"/>
      <c r="S449" s="39"/>
      <c r="T449" s="39"/>
    </row>
    <row r="450" spans="1:20" ht="15.75">
      <c r="A450" s="13">
        <v>54847</v>
      </c>
      <c r="B450" s="47">
        <v>28</v>
      </c>
      <c r="C450" s="38">
        <v>122.58</v>
      </c>
      <c r="D450" s="38">
        <v>297.94099999999997</v>
      </c>
      <c r="E450" s="44">
        <v>729.47900000000004</v>
      </c>
      <c r="F450" s="38">
        <v>1150</v>
      </c>
      <c r="G450" s="38">
        <v>100</v>
      </c>
      <c r="H450" s="46">
        <v>600</v>
      </c>
      <c r="I450" s="38">
        <v>695</v>
      </c>
      <c r="J450" s="38">
        <v>50</v>
      </c>
      <c r="K450" s="39"/>
      <c r="L450" s="39"/>
      <c r="M450" s="39"/>
      <c r="N450" s="39"/>
      <c r="O450" s="39"/>
      <c r="P450" s="39"/>
      <c r="Q450" s="39"/>
      <c r="R450" s="39"/>
      <c r="S450" s="39"/>
      <c r="T450" s="39"/>
    </row>
    <row r="451" spans="1:20" ht="15.75">
      <c r="A451" s="13">
        <v>54878</v>
      </c>
      <c r="B451" s="47">
        <v>31</v>
      </c>
      <c r="C451" s="38">
        <v>122.58</v>
      </c>
      <c r="D451" s="38">
        <v>297.94099999999997</v>
      </c>
      <c r="E451" s="44">
        <v>729.47900000000004</v>
      </c>
      <c r="F451" s="38">
        <v>1150</v>
      </c>
      <c r="G451" s="38">
        <v>100</v>
      </c>
      <c r="H451" s="46">
        <v>600</v>
      </c>
      <c r="I451" s="38">
        <v>695</v>
      </c>
      <c r="J451" s="38">
        <v>50</v>
      </c>
      <c r="K451" s="39"/>
      <c r="L451" s="39"/>
      <c r="M451" s="39"/>
      <c r="N451" s="39"/>
      <c r="O451" s="39"/>
      <c r="P451" s="39"/>
      <c r="Q451" s="39"/>
      <c r="R451" s="39"/>
      <c r="S451" s="39"/>
      <c r="T451" s="39"/>
    </row>
    <row r="452" spans="1:20" ht="15.75">
      <c r="A452" s="13">
        <v>54908</v>
      </c>
      <c r="B452" s="47">
        <v>30</v>
      </c>
      <c r="C452" s="38">
        <v>141.29300000000001</v>
      </c>
      <c r="D452" s="38">
        <v>267.99299999999999</v>
      </c>
      <c r="E452" s="44">
        <v>829.71400000000006</v>
      </c>
      <c r="F452" s="38">
        <v>1239</v>
      </c>
      <c r="G452" s="38">
        <v>100</v>
      </c>
      <c r="H452" s="46">
        <v>600</v>
      </c>
      <c r="I452" s="38">
        <v>695</v>
      </c>
      <c r="J452" s="38">
        <v>50</v>
      </c>
      <c r="K452" s="39"/>
      <c r="L452" s="39"/>
      <c r="M452" s="39"/>
      <c r="N452" s="39"/>
      <c r="O452" s="39"/>
      <c r="P452" s="39"/>
      <c r="Q452" s="39"/>
      <c r="R452" s="39"/>
      <c r="S452" s="39"/>
      <c r="T452" s="39"/>
    </row>
    <row r="453" spans="1:20" ht="15.75">
      <c r="A453" s="13">
        <v>54939</v>
      </c>
      <c r="B453" s="47">
        <v>31</v>
      </c>
      <c r="C453" s="38">
        <v>194.20500000000001</v>
      </c>
      <c r="D453" s="38">
        <v>267.46600000000001</v>
      </c>
      <c r="E453" s="44">
        <v>812.32899999999995</v>
      </c>
      <c r="F453" s="38">
        <v>1274</v>
      </c>
      <c r="G453" s="38">
        <v>75</v>
      </c>
      <c r="H453" s="46">
        <v>600</v>
      </c>
      <c r="I453" s="38">
        <v>695</v>
      </c>
      <c r="J453" s="38">
        <v>50</v>
      </c>
      <c r="K453" s="39"/>
      <c r="L453" s="39"/>
      <c r="M453" s="39"/>
      <c r="N453" s="39"/>
      <c r="O453" s="39"/>
      <c r="P453" s="39"/>
      <c r="Q453" s="39"/>
      <c r="R453" s="39"/>
      <c r="S453" s="39"/>
      <c r="T453" s="39"/>
    </row>
    <row r="454" spans="1:20" ht="15.75">
      <c r="A454" s="13">
        <v>54969</v>
      </c>
      <c r="B454" s="47">
        <v>30</v>
      </c>
      <c r="C454" s="38">
        <v>194.20500000000001</v>
      </c>
      <c r="D454" s="38">
        <v>267.46600000000001</v>
      </c>
      <c r="E454" s="44">
        <v>812.32899999999995</v>
      </c>
      <c r="F454" s="38">
        <v>1274</v>
      </c>
      <c r="G454" s="38">
        <v>50</v>
      </c>
      <c r="H454" s="46">
        <v>600</v>
      </c>
      <c r="I454" s="38">
        <v>695</v>
      </c>
      <c r="J454" s="38">
        <v>50</v>
      </c>
      <c r="K454" s="39"/>
      <c r="L454" s="39"/>
      <c r="M454" s="39"/>
      <c r="N454" s="39"/>
      <c r="O454" s="39"/>
      <c r="P454" s="39"/>
      <c r="Q454" s="39"/>
      <c r="R454" s="39"/>
      <c r="S454" s="39"/>
      <c r="T454" s="39"/>
    </row>
    <row r="455" spans="1:20" ht="15.75">
      <c r="A455" s="13">
        <v>55000</v>
      </c>
      <c r="B455" s="47">
        <v>31</v>
      </c>
      <c r="C455" s="38">
        <v>194.20500000000001</v>
      </c>
      <c r="D455" s="38">
        <v>267.46600000000001</v>
      </c>
      <c r="E455" s="44">
        <v>812.32899999999995</v>
      </c>
      <c r="F455" s="38">
        <v>1274</v>
      </c>
      <c r="G455" s="38">
        <v>50</v>
      </c>
      <c r="H455" s="46">
        <v>600</v>
      </c>
      <c r="I455" s="38">
        <v>695</v>
      </c>
      <c r="J455" s="38">
        <v>0</v>
      </c>
      <c r="K455" s="39"/>
      <c r="L455" s="39"/>
      <c r="M455" s="39"/>
      <c r="N455" s="39"/>
      <c r="O455" s="39"/>
      <c r="P455" s="39"/>
      <c r="Q455" s="39"/>
      <c r="R455" s="39"/>
      <c r="S455" s="39"/>
      <c r="T455" s="39"/>
    </row>
    <row r="456" spans="1:20" ht="15.75">
      <c r="A456" s="13">
        <v>55031</v>
      </c>
      <c r="B456" s="47">
        <v>31</v>
      </c>
      <c r="C456" s="38">
        <v>194.20500000000001</v>
      </c>
      <c r="D456" s="38">
        <v>267.46600000000001</v>
      </c>
      <c r="E456" s="44">
        <v>812.32899999999995</v>
      </c>
      <c r="F456" s="38">
        <v>1274</v>
      </c>
      <c r="G456" s="38">
        <v>50</v>
      </c>
      <c r="H456" s="46">
        <v>600</v>
      </c>
      <c r="I456" s="38">
        <v>695</v>
      </c>
      <c r="J456" s="38">
        <v>0</v>
      </c>
      <c r="K456" s="39"/>
      <c r="L456" s="39"/>
      <c r="M456" s="39"/>
      <c r="N456" s="39"/>
      <c r="O456" s="39"/>
      <c r="P456" s="39"/>
      <c r="Q456" s="39"/>
      <c r="R456" s="39"/>
      <c r="S456" s="39"/>
      <c r="T456" s="39"/>
    </row>
    <row r="457" spans="1:20" ht="15.75">
      <c r="A457" s="13">
        <v>55061</v>
      </c>
      <c r="B457" s="47">
        <v>30</v>
      </c>
      <c r="C457" s="38">
        <v>194.20500000000001</v>
      </c>
      <c r="D457" s="38">
        <v>267.46600000000001</v>
      </c>
      <c r="E457" s="44">
        <v>812.32899999999995</v>
      </c>
      <c r="F457" s="38">
        <v>1274</v>
      </c>
      <c r="G457" s="38">
        <v>50</v>
      </c>
      <c r="H457" s="46">
        <v>600</v>
      </c>
      <c r="I457" s="38">
        <v>695</v>
      </c>
      <c r="J457" s="38">
        <v>0</v>
      </c>
      <c r="K457" s="39"/>
      <c r="L457" s="39"/>
      <c r="M457" s="39"/>
      <c r="N457" s="39"/>
      <c r="O457" s="39"/>
      <c r="P457" s="39"/>
      <c r="Q457" s="39"/>
      <c r="R457" s="39"/>
      <c r="S457" s="39"/>
      <c r="T457" s="39"/>
    </row>
    <row r="458" spans="1:20" ht="15.75">
      <c r="A458" s="13">
        <v>55092</v>
      </c>
      <c r="B458" s="47">
        <v>31</v>
      </c>
      <c r="C458" s="38">
        <v>131.881</v>
      </c>
      <c r="D458" s="38">
        <v>277.16699999999997</v>
      </c>
      <c r="E458" s="44">
        <v>829.952</v>
      </c>
      <c r="F458" s="38">
        <v>1239</v>
      </c>
      <c r="G458" s="38">
        <v>75</v>
      </c>
      <c r="H458" s="46">
        <v>600</v>
      </c>
      <c r="I458" s="38">
        <v>695</v>
      </c>
      <c r="J458" s="38">
        <v>0</v>
      </c>
      <c r="K458" s="39"/>
      <c r="L458" s="39"/>
      <c r="M458" s="39"/>
      <c r="N458" s="39"/>
      <c r="O458" s="39"/>
      <c r="P458" s="39"/>
      <c r="Q458" s="39"/>
      <c r="R458" s="39"/>
      <c r="S458" s="39"/>
      <c r="T458" s="39"/>
    </row>
    <row r="459" spans="1:20" ht="15.75">
      <c r="A459" s="13">
        <v>55122</v>
      </c>
      <c r="B459" s="47">
        <v>30</v>
      </c>
      <c r="C459" s="38">
        <v>122.58</v>
      </c>
      <c r="D459" s="38">
        <v>297.94099999999997</v>
      </c>
      <c r="E459" s="44">
        <v>729.47900000000004</v>
      </c>
      <c r="F459" s="38">
        <v>1150</v>
      </c>
      <c r="G459" s="38">
        <v>100</v>
      </c>
      <c r="H459" s="46">
        <v>600</v>
      </c>
      <c r="I459" s="38">
        <v>695</v>
      </c>
      <c r="J459" s="38">
        <v>50</v>
      </c>
      <c r="K459" s="39"/>
      <c r="L459" s="39"/>
      <c r="M459" s="39"/>
      <c r="N459" s="39"/>
      <c r="O459" s="39"/>
      <c r="P459" s="39"/>
      <c r="Q459" s="39"/>
      <c r="R459" s="39"/>
      <c r="S459" s="39"/>
      <c r="T459" s="39"/>
    </row>
    <row r="460" spans="1:20" ht="15.75">
      <c r="A460" s="13">
        <v>55153</v>
      </c>
      <c r="B460" s="47">
        <v>31</v>
      </c>
      <c r="C460" s="38">
        <v>122.58</v>
      </c>
      <c r="D460" s="38">
        <v>297.94099999999997</v>
      </c>
      <c r="E460" s="44">
        <v>729.47900000000004</v>
      </c>
      <c r="F460" s="38">
        <v>1150</v>
      </c>
      <c r="G460" s="38">
        <v>100</v>
      </c>
      <c r="H460" s="46">
        <v>600</v>
      </c>
      <c r="I460" s="38">
        <v>695</v>
      </c>
      <c r="J460" s="38">
        <v>50</v>
      </c>
      <c r="K460" s="39"/>
      <c r="L460" s="39"/>
      <c r="M460" s="39"/>
      <c r="N460" s="39"/>
      <c r="O460" s="39"/>
      <c r="P460" s="39"/>
      <c r="Q460" s="39"/>
      <c r="R460" s="39"/>
      <c r="S460" s="39"/>
      <c r="T460" s="39"/>
    </row>
    <row r="461" spans="1:20" ht="15.75">
      <c r="A461" s="13">
        <v>55184</v>
      </c>
      <c r="B461" s="47">
        <v>31</v>
      </c>
      <c r="C461" s="38">
        <v>122.58</v>
      </c>
      <c r="D461" s="38">
        <v>297.94099999999997</v>
      </c>
      <c r="E461" s="44">
        <v>729.47900000000004</v>
      </c>
      <c r="F461" s="38">
        <v>1150</v>
      </c>
      <c r="G461" s="38">
        <v>100</v>
      </c>
      <c r="H461" s="46">
        <v>600</v>
      </c>
      <c r="I461" s="38">
        <v>695</v>
      </c>
      <c r="J461" s="38">
        <v>50</v>
      </c>
      <c r="K461" s="39"/>
      <c r="L461" s="39"/>
      <c r="M461" s="39"/>
      <c r="N461" s="39"/>
      <c r="O461" s="39"/>
      <c r="P461" s="39"/>
      <c r="Q461" s="39"/>
      <c r="R461" s="39"/>
      <c r="S461" s="39"/>
      <c r="T461" s="39"/>
    </row>
    <row r="462" spans="1:20" ht="15.75">
      <c r="A462" s="13">
        <v>55212</v>
      </c>
      <c r="B462" s="47">
        <v>28</v>
      </c>
      <c r="C462" s="38">
        <v>122.58</v>
      </c>
      <c r="D462" s="38">
        <v>297.94099999999997</v>
      </c>
      <c r="E462" s="44">
        <v>729.47900000000004</v>
      </c>
      <c r="F462" s="38">
        <v>1150</v>
      </c>
      <c r="G462" s="38">
        <v>100</v>
      </c>
      <c r="H462" s="46">
        <v>600</v>
      </c>
      <c r="I462" s="38">
        <v>695</v>
      </c>
      <c r="J462" s="38">
        <v>50</v>
      </c>
      <c r="K462" s="39"/>
      <c r="L462" s="39"/>
      <c r="M462" s="39"/>
      <c r="N462" s="39"/>
      <c r="O462" s="39"/>
      <c r="P462" s="39"/>
      <c r="Q462" s="39"/>
      <c r="R462" s="39"/>
      <c r="S462" s="39"/>
      <c r="T462" s="39"/>
    </row>
    <row r="463" spans="1:20" ht="15.75">
      <c r="A463" s="13">
        <v>55243</v>
      </c>
      <c r="B463" s="47">
        <v>31</v>
      </c>
      <c r="C463" s="38">
        <v>122.58</v>
      </c>
      <c r="D463" s="38">
        <v>297.94099999999997</v>
      </c>
      <c r="E463" s="44">
        <v>729.47900000000004</v>
      </c>
      <c r="F463" s="38">
        <v>1150</v>
      </c>
      <c r="G463" s="38">
        <v>100</v>
      </c>
      <c r="H463" s="46">
        <v>600</v>
      </c>
      <c r="I463" s="38">
        <v>695</v>
      </c>
      <c r="J463" s="38">
        <v>50</v>
      </c>
      <c r="K463" s="39"/>
      <c r="L463" s="39"/>
      <c r="M463" s="39"/>
      <c r="N463" s="39"/>
      <c r="O463" s="39"/>
      <c r="P463" s="39"/>
      <c r="Q463" s="39"/>
      <c r="R463" s="39"/>
      <c r="S463" s="39"/>
      <c r="T463" s="39"/>
    </row>
    <row r="464" spans="1:20" ht="15.75">
      <c r="A464" s="13">
        <v>55273</v>
      </c>
      <c r="B464" s="47">
        <v>30</v>
      </c>
      <c r="C464" s="38">
        <v>141.29300000000001</v>
      </c>
      <c r="D464" s="38">
        <v>267.99299999999999</v>
      </c>
      <c r="E464" s="44">
        <v>829.71400000000006</v>
      </c>
      <c r="F464" s="38">
        <v>1239</v>
      </c>
      <c r="G464" s="38">
        <v>100</v>
      </c>
      <c r="H464" s="46">
        <v>600</v>
      </c>
      <c r="I464" s="38">
        <v>695</v>
      </c>
      <c r="J464" s="38">
        <v>50</v>
      </c>
      <c r="K464" s="39"/>
      <c r="L464" s="39"/>
      <c r="M464" s="39"/>
      <c r="N464" s="39"/>
      <c r="O464" s="39"/>
      <c r="P464" s="39"/>
      <c r="Q464" s="39"/>
      <c r="R464" s="39"/>
      <c r="S464" s="39"/>
      <c r="T464" s="39"/>
    </row>
    <row r="465" spans="1:20" ht="15.75">
      <c r="A465" s="13">
        <v>55304</v>
      </c>
      <c r="B465" s="47">
        <v>31</v>
      </c>
      <c r="C465" s="38">
        <v>194.20500000000001</v>
      </c>
      <c r="D465" s="38">
        <v>267.46600000000001</v>
      </c>
      <c r="E465" s="44">
        <v>812.32899999999995</v>
      </c>
      <c r="F465" s="38">
        <v>1274</v>
      </c>
      <c r="G465" s="38">
        <v>75</v>
      </c>
      <c r="H465" s="46">
        <v>600</v>
      </c>
      <c r="I465" s="38">
        <v>695</v>
      </c>
      <c r="J465" s="38">
        <v>50</v>
      </c>
      <c r="K465" s="39"/>
      <c r="L465" s="39"/>
      <c r="M465" s="39"/>
      <c r="N465" s="39"/>
      <c r="O465" s="39"/>
      <c r="P465" s="39"/>
      <c r="Q465" s="39"/>
      <c r="R465" s="39"/>
      <c r="S465" s="39"/>
      <c r="T465" s="39"/>
    </row>
    <row r="466" spans="1:20" ht="15.75">
      <c r="A466" s="13">
        <v>55334</v>
      </c>
      <c r="B466" s="47">
        <v>30</v>
      </c>
      <c r="C466" s="38">
        <v>194.20500000000001</v>
      </c>
      <c r="D466" s="38">
        <v>267.46600000000001</v>
      </c>
      <c r="E466" s="44">
        <v>812.32899999999995</v>
      </c>
      <c r="F466" s="38">
        <v>1274</v>
      </c>
      <c r="G466" s="38">
        <v>50</v>
      </c>
      <c r="H466" s="46">
        <v>600</v>
      </c>
      <c r="I466" s="38">
        <v>695</v>
      </c>
      <c r="J466" s="38">
        <v>50</v>
      </c>
      <c r="K466" s="39"/>
      <c r="L466" s="39"/>
      <c r="M466" s="39"/>
      <c r="N466" s="39"/>
      <c r="O466" s="39"/>
      <c r="P466" s="39"/>
      <c r="Q466" s="39"/>
      <c r="R466" s="39"/>
      <c r="S466" s="39"/>
      <c r="T466" s="39"/>
    </row>
    <row r="467" spans="1:20" ht="15.75">
      <c r="A467" s="13">
        <v>55365</v>
      </c>
      <c r="B467" s="47">
        <v>31</v>
      </c>
      <c r="C467" s="38">
        <v>194.20500000000001</v>
      </c>
      <c r="D467" s="38">
        <v>267.46600000000001</v>
      </c>
      <c r="E467" s="44">
        <v>812.32899999999995</v>
      </c>
      <c r="F467" s="38">
        <v>1274</v>
      </c>
      <c r="G467" s="38">
        <v>50</v>
      </c>
      <c r="H467" s="46">
        <v>600</v>
      </c>
      <c r="I467" s="38">
        <v>695</v>
      </c>
      <c r="J467" s="38">
        <v>0</v>
      </c>
      <c r="K467" s="39"/>
      <c r="L467" s="39"/>
      <c r="M467" s="39"/>
      <c r="N467" s="39"/>
      <c r="O467" s="39"/>
      <c r="P467" s="39"/>
      <c r="Q467" s="39"/>
      <c r="R467" s="39"/>
      <c r="S467" s="39"/>
      <c r="T467" s="39"/>
    </row>
    <row r="468" spans="1:20" ht="15.75">
      <c r="A468" s="13">
        <v>55396</v>
      </c>
      <c r="B468" s="47">
        <v>31</v>
      </c>
      <c r="C468" s="38">
        <v>194.20500000000001</v>
      </c>
      <c r="D468" s="38">
        <v>267.46600000000001</v>
      </c>
      <c r="E468" s="44">
        <v>812.32899999999995</v>
      </c>
      <c r="F468" s="38">
        <v>1274</v>
      </c>
      <c r="G468" s="38">
        <v>50</v>
      </c>
      <c r="H468" s="46">
        <v>600</v>
      </c>
      <c r="I468" s="38">
        <v>695</v>
      </c>
      <c r="J468" s="38">
        <v>0</v>
      </c>
      <c r="K468" s="39"/>
      <c r="L468" s="39"/>
      <c r="M468" s="39"/>
      <c r="N468" s="39"/>
      <c r="O468" s="39"/>
      <c r="P468" s="39"/>
      <c r="Q468" s="39"/>
      <c r="R468" s="39"/>
      <c r="S468" s="39"/>
      <c r="T468" s="39"/>
    </row>
    <row r="469" spans="1:20" ht="15.75">
      <c r="A469" s="13">
        <v>55426</v>
      </c>
      <c r="B469" s="47">
        <v>30</v>
      </c>
      <c r="C469" s="38">
        <v>194.20500000000001</v>
      </c>
      <c r="D469" s="38">
        <v>267.46600000000001</v>
      </c>
      <c r="E469" s="44">
        <v>812.32899999999995</v>
      </c>
      <c r="F469" s="38">
        <v>1274</v>
      </c>
      <c r="G469" s="38">
        <v>50</v>
      </c>
      <c r="H469" s="46">
        <v>600</v>
      </c>
      <c r="I469" s="38">
        <v>695</v>
      </c>
      <c r="J469" s="38">
        <v>0</v>
      </c>
      <c r="K469" s="39"/>
      <c r="L469" s="39"/>
      <c r="M469" s="39"/>
      <c r="N469" s="39"/>
      <c r="O469" s="39"/>
      <c r="P469" s="39"/>
      <c r="Q469" s="39"/>
      <c r="R469" s="39"/>
      <c r="S469" s="39"/>
      <c r="T469" s="39"/>
    </row>
    <row r="470" spans="1:20" ht="15.75">
      <c r="A470" s="13">
        <v>55457</v>
      </c>
      <c r="B470" s="47">
        <v>31</v>
      </c>
      <c r="C470" s="38">
        <v>131.881</v>
      </c>
      <c r="D470" s="38">
        <v>277.16699999999997</v>
      </c>
      <c r="E470" s="44">
        <v>829.952</v>
      </c>
      <c r="F470" s="38">
        <v>1239</v>
      </c>
      <c r="G470" s="38">
        <v>75</v>
      </c>
      <c r="H470" s="46">
        <v>600</v>
      </c>
      <c r="I470" s="38">
        <v>695</v>
      </c>
      <c r="J470" s="38">
        <v>0</v>
      </c>
      <c r="K470" s="39"/>
      <c r="L470" s="39"/>
      <c r="M470" s="39"/>
      <c r="N470" s="39"/>
      <c r="O470" s="39"/>
      <c r="P470" s="39"/>
      <c r="Q470" s="39"/>
      <c r="R470" s="39"/>
      <c r="S470" s="39"/>
      <c r="T470" s="39"/>
    </row>
    <row r="471" spans="1:20" ht="15.75">
      <c r="A471" s="13">
        <v>55487</v>
      </c>
      <c r="B471" s="47">
        <v>30</v>
      </c>
      <c r="C471" s="38">
        <v>122.58</v>
      </c>
      <c r="D471" s="38">
        <v>297.94099999999997</v>
      </c>
      <c r="E471" s="44">
        <v>729.47900000000004</v>
      </c>
      <c r="F471" s="38">
        <v>1150</v>
      </c>
      <c r="G471" s="38">
        <v>100</v>
      </c>
      <c r="H471" s="46">
        <v>600</v>
      </c>
      <c r="I471" s="38">
        <v>695</v>
      </c>
      <c r="J471" s="38">
        <v>50</v>
      </c>
      <c r="K471" s="39"/>
      <c r="L471" s="39"/>
      <c r="M471" s="39"/>
      <c r="N471" s="39"/>
      <c r="O471" s="39"/>
      <c r="P471" s="39"/>
      <c r="Q471" s="39"/>
      <c r="R471" s="39"/>
      <c r="S471" s="39"/>
      <c r="T471" s="39"/>
    </row>
    <row r="472" spans="1:20" ht="15.75">
      <c r="A472" s="13">
        <v>55518</v>
      </c>
      <c r="B472" s="47">
        <v>31</v>
      </c>
      <c r="C472" s="38">
        <v>122.58</v>
      </c>
      <c r="D472" s="38">
        <v>297.94099999999997</v>
      </c>
      <c r="E472" s="44">
        <v>729.47900000000004</v>
      </c>
      <c r="F472" s="38">
        <v>1150</v>
      </c>
      <c r="G472" s="38">
        <v>100</v>
      </c>
      <c r="H472" s="46">
        <v>600</v>
      </c>
      <c r="I472" s="38">
        <v>695</v>
      </c>
      <c r="J472" s="38">
        <v>50</v>
      </c>
      <c r="K472" s="39"/>
      <c r="L472" s="39"/>
      <c r="M472" s="39"/>
      <c r="N472" s="39"/>
      <c r="O472" s="39"/>
      <c r="P472" s="39"/>
      <c r="Q472" s="39"/>
      <c r="R472" s="39"/>
      <c r="S472" s="39"/>
      <c r="T472" s="39"/>
    </row>
    <row r="473" spans="1:20" ht="15.75">
      <c r="A473" s="13">
        <v>55549</v>
      </c>
      <c r="B473" s="47">
        <v>31</v>
      </c>
      <c r="C473" s="38">
        <v>122.58</v>
      </c>
      <c r="D473" s="38">
        <v>297.94099999999997</v>
      </c>
      <c r="E473" s="44">
        <v>729.47900000000004</v>
      </c>
      <c r="F473" s="38">
        <v>1150</v>
      </c>
      <c r="G473" s="38">
        <v>100</v>
      </c>
      <c r="H473" s="46">
        <v>600</v>
      </c>
      <c r="I473" s="38">
        <v>695</v>
      </c>
      <c r="J473" s="38">
        <v>50</v>
      </c>
      <c r="K473" s="39"/>
      <c r="L473" s="39"/>
      <c r="M473" s="39"/>
      <c r="N473" s="39"/>
      <c r="O473" s="39"/>
      <c r="P473" s="39"/>
      <c r="Q473" s="39"/>
      <c r="R473" s="39"/>
      <c r="S473" s="39"/>
      <c r="T473" s="39"/>
    </row>
    <row r="474" spans="1:20" ht="15.75">
      <c r="A474" s="13">
        <v>55577</v>
      </c>
      <c r="B474" s="47">
        <v>29</v>
      </c>
      <c r="C474" s="38">
        <v>122.58</v>
      </c>
      <c r="D474" s="38">
        <v>297.94099999999997</v>
      </c>
      <c r="E474" s="44">
        <v>729.47900000000004</v>
      </c>
      <c r="F474" s="38">
        <v>1150</v>
      </c>
      <c r="G474" s="38">
        <v>100</v>
      </c>
      <c r="H474" s="46">
        <v>600</v>
      </c>
      <c r="I474" s="38">
        <v>695</v>
      </c>
      <c r="J474" s="38">
        <v>50</v>
      </c>
      <c r="K474" s="39"/>
      <c r="L474" s="39"/>
      <c r="M474" s="39"/>
      <c r="N474" s="39"/>
      <c r="O474" s="39"/>
      <c r="P474" s="39"/>
      <c r="Q474" s="39"/>
      <c r="R474" s="39"/>
      <c r="S474" s="39"/>
      <c r="T474" s="39"/>
    </row>
    <row r="475" spans="1:20" ht="15.75">
      <c r="A475" s="13">
        <v>55609</v>
      </c>
      <c r="B475" s="47">
        <v>31</v>
      </c>
      <c r="C475" s="38">
        <v>122.58</v>
      </c>
      <c r="D475" s="38">
        <v>297.94099999999997</v>
      </c>
      <c r="E475" s="44">
        <v>729.47900000000004</v>
      </c>
      <c r="F475" s="38">
        <v>1150</v>
      </c>
      <c r="G475" s="38">
        <v>100</v>
      </c>
      <c r="H475" s="46">
        <v>600</v>
      </c>
      <c r="I475" s="38">
        <v>695</v>
      </c>
      <c r="J475" s="38">
        <v>50</v>
      </c>
      <c r="K475" s="39"/>
      <c r="L475" s="39"/>
      <c r="M475" s="39"/>
      <c r="N475" s="39"/>
      <c r="O475" s="39"/>
      <c r="P475" s="39"/>
      <c r="Q475" s="39"/>
      <c r="R475" s="39"/>
      <c r="S475" s="39"/>
      <c r="T475" s="39"/>
    </row>
    <row r="476" spans="1:20" ht="15.75">
      <c r="A476" s="13">
        <v>55639</v>
      </c>
      <c r="B476" s="47">
        <v>30</v>
      </c>
      <c r="C476" s="38">
        <v>141.29300000000001</v>
      </c>
      <c r="D476" s="38">
        <v>267.99299999999999</v>
      </c>
      <c r="E476" s="44">
        <v>829.71400000000006</v>
      </c>
      <c r="F476" s="38">
        <v>1239</v>
      </c>
      <c r="G476" s="38">
        <v>100</v>
      </c>
      <c r="H476" s="46">
        <v>600</v>
      </c>
      <c r="I476" s="38">
        <v>695</v>
      </c>
      <c r="J476" s="38">
        <v>50</v>
      </c>
      <c r="K476" s="39"/>
      <c r="L476" s="39"/>
      <c r="M476" s="39"/>
      <c r="N476" s="39"/>
      <c r="O476" s="39"/>
      <c r="P476" s="39"/>
      <c r="Q476" s="39"/>
      <c r="R476" s="39"/>
      <c r="S476" s="39"/>
      <c r="T476" s="39"/>
    </row>
    <row r="477" spans="1:20" ht="15.75">
      <c r="A477" s="13">
        <v>55670</v>
      </c>
      <c r="B477" s="47">
        <v>31</v>
      </c>
      <c r="C477" s="38">
        <v>194.20500000000001</v>
      </c>
      <c r="D477" s="38">
        <v>267.46600000000001</v>
      </c>
      <c r="E477" s="44">
        <v>812.32899999999995</v>
      </c>
      <c r="F477" s="38">
        <v>1274</v>
      </c>
      <c r="G477" s="38">
        <v>75</v>
      </c>
      <c r="H477" s="46">
        <v>600</v>
      </c>
      <c r="I477" s="38">
        <v>695</v>
      </c>
      <c r="J477" s="38">
        <v>50</v>
      </c>
      <c r="K477" s="39"/>
      <c r="L477" s="39"/>
      <c r="M477" s="39"/>
      <c r="N477" s="39"/>
      <c r="O477" s="39"/>
      <c r="P477" s="39"/>
      <c r="Q477" s="39"/>
      <c r="R477" s="39"/>
      <c r="S477" s="39"/>
      <c r="T477" s="39"/>
    </row>
    <row r="478" spans="1:20" ht="15.75">
      <c r="A478" s="13">
        <v>55700</v>
      </c>
      <c r="B478" s="47">
        <v>30</v>
      </c>
      <c r="C478" s="38">
        <v>194.20500000000001</v>
      </c>
      <c r="D478" s="38">
        <v>267.46600000000001</v>
      </c>
      <c r="E478" s="44">
        <v>812.32899999999995</v>
      </c>
      <c r="F478" s="38">
        <v>1274</v>
      </c>
      <c r="G478" s="38">
        <v>50</v>
      </c>
      <c r="H478" s="46">
        <v>600</v>
      </c>
      <c r="I478" s="38">
        <v>695</v>
      </c>
      <c r="J478" s="38">
        <v>50</v>
      </c>
      <c r="K478" s="39"/>
      <c r="L478" s="39"/>
      <c r="M478" s="39"/>
      <c r="N478" s="39"/>
      <c r="O478" s="39"/>
      <c r="P478" s="39"/>
      <c r="Q478" s="39"/>
      <c r="R478" s="39"/>
      <c r="S478" s="39"/>
      <c r="T478" s="39"/>
    </row>
    <row r="479" spans="1:20" ht="15.75">
      <c r="A479" s="13">
        <v>55731</v>
      </c>
      <c r="B479" s="47">
        <v>31</v>
      </c>
      <c r="C479" s="38">
        <v>194.20500000000001</v>
      </c>
      <c r="D479" s="38">
        <v>267.46600000000001</v>
      </c>
      <c r="E479" s="44">
        <v>812.32899999999995</v>
      </c>
      <c r="F479" s="38">
        <v>1274</v>
      </c>
      <c r="G479" s="38">
        <v>50</v>
      </c>
      <c r="H479" s="46">
        <v>600</v>
      </c>
      <c r="I479" s="38">
        <v>695</v>
      </c>
      <c r="J479" s="38">
        <v>0</v>
      </c>
      <c r="K479" s="39"/>
      <c r="L479" s="39"/>
      <c r="M479" s="39"/>
      <c r="N479" s="39"/>
      <c r="O479" s="39"/>
      <c r="P479" s="39"/>
      <c r="Q479" s="39"/>
      <c r="R479" s="39"/>
      <c r="S479" s="39"/>
      <c r="T479" s="39"/>
    </row>
    <row r="480" spans="1:20" ht="15.75">
      <c r="A480" s="13">
        <v>55762</v>
      </c>
      <c r="B480" s="47">
        <v>31</v>
      </c>
      <c r="C480" s="38">
        <v>194.20500000000001</v>
      </c>
      <c r="D480" s="38">
        <v>267.46600000000001</v>
      </c>
      <c r="E480" s="44">
        <v>812.32899999999995</v>
      </c>
      <c r="F480" s="38">
        <v>1274</v>
      </c>
      <c r="G480" s="38">
        <v>50</v>
      </c>
      <c r="H480" s="46">
        <v>600</v>
      </c>
      <c r="I480" s="38">
        <v>695</v>
      </c>
      <c r="J480" s="38">
        <v>0</v>
      </c>
      <c r="K480" s="39"/>
      <c r="L480" s="39"/>
      <c r="M480" s="39"/>
      <c r="N480" s="39"/>
      <c r="O480" s="39"/>
      <c r="P480" s="39"/>
      <c r="Q480" s="39"/>
      <c r="R480" s="39"/>
      <c r="S480" s="39"/>
      <c r="T480" s="39"/>
    </row>
    <row r="481" spans="1:20" ht="15.75">
      <c r="A481" s="13">
        <v>55792</v>
      </c>
      <c r="B481" s="47">
        <v>30</v>
      </c>
      <c r="C481" s="38">
        <v>194.20500000000001</v>
      </c>
      <c r="D481" s="38">
        <v>267.46600000000001</v>
      </c>
      <c r="E481" s="44">
        <v>812.32899999999995</v>
      </c>
      <c r="F481" s="38">
        <v>1274</v>
      </c>
      <c r="G481" s="38">
        <v>50</v>
      </c>
      <c r="H481" s="46">
        <v>600</v>
      </c>
      <c r="I481" s="38">
        <v>695</v>
      </c>
      <c r="J481" s="38">
        <v>0</v>
      </c>
      <c r="K481" s="39"/>
      <c r="L481" s="39"/>
      <c r="M481" s="39"/>
      <c r="N481" s="39"/>
      <c r="O481" s="39"/>
      <c r="P481" s="39"/>
      <c r="Q481" s="39"/>
      <c r="R481" s="39"/>
      <c r="S481" s="39"/>
      <c r="T481" s="39"/>
    </row>
    <row r="482" spans="1:20" ht="15.75">
      <c r="A482" s="13">
        <v>55823</v>
      </c>
      <c r="B482" s="47">
        <v>31</v>
      </c>
      <c r="C482" s="38">
        <v>131.881</v>
      </c>
      <c r="D482" s="38">
        <v>277.16699999999997</v>
      </c>
      <c r="E482" s="44">
        <v>829.952</v>
      </c>
      <c r="F482" s="38">
        <v>1239</v>
      </c>
      <c r="G482" s="38">
        <v>75</v>
      </c>
      <c r="H482" s="46">
        <v>600</v>
      </c>
      <c r="I482" s="38">
        <v>695</v>
      </c>
      <c r="J482" s="38">
        <v>0</v>
      </c>
      <c r="K482" s="39"/>
      <c r="L482" s="39"/>
      <c r="M482" s="39"/>
      <c r="N482" s="39"/>
      <c r="O482" s="39"/>
      <c r="P482" s="39"/>
      <c r="Q482" s="39"/>
      <c r="R482" s="39"/>
      <c r="S482" s="39"/>
      <c r="T482" s="39"/>
    </row>
    <row r="483" spans="1:20" ht="15.75">
      <c r="A483" s="13">
        <v>55853</v>
      </c>
      <c r="B483" s="47">
        <v>30</v>
      </c>
      <c r="C483" s="38">
        <v>122.58</v>
      </c>
      <c r="D483" s="38">
        <v>297.94099999999997</v>
      </c>
      <c r="E483" s="44">
        <v>729.47900000000004</v>
      </c>
      <c r="F483" s="38">
        <v>1150</v>
      </c>
      <c r="G483" s="38">
        <v>100</v>
      </c>
      <c r="H483" s="46">
        <v>600</v>
      </c>
      <c r="I483" s="38">
        <v>695</v>
      </c>
      <c r="J483" s="38">
        <v>50</v>
      </c>
      <c r="K483" s="39"/>
      <c r="L483" s="39"/>
      <c r="M483" s="39"/>
      <c r="N483" s="39"/>
      <c r="O483" s="39"/>
      <c r="P483" s="39"/>
      <c r="Q483" s="39"/>
      <c r="R483" s="39"/>
      <c r="S483" s="39"/>
      <c r="T483" s="39"/>
    </row>
    <row r="484" spans="1:20" ht="15.75">
      <c r="A484" s="13">
        <v>55884</v>
      </c>
      <c r="B484" s="47">
        <v>31</v>
      </c>
      <c r="C484" s="38">
        <v>122.58</v>
      </c>
      <c r="D484" s="38">
        <v>297.94099999999997</v>
      </c>
      <c r="E484" s="44">
        <v>729.47900000000004</v>
      </c>
      <c r="F484" s="38">
        <v>1150</v>
      </c>
      <c r="G484" s="38">
        <v>100</v>
      </c>
      <c r="H484" s="46">
        <v>600</v>
      </c>
      <c r="I484" s="38">
        <v>695</v>
      </c>
      <c r="J484" s="38">
        <v>50</v>
      </c>
      <c r="K484" s="39"/>
      <c r="L484" s="39"/>
      <c r="M484" s="39"/>
      <c r="N484" s="39"/>
      <c r="O484" s="39"/>
      <c r="P484" s="39"/>
      <c r="Q484" s="39"/>
      <c r="R484" s="39"/>
      <c r="S484" s="39"/>
      <c r="T484" s="39"/>
    </row>
    <row r="485" spans="1:20" ht="15.75">
      <c r="A485" s="13">
        <v>55915</v>
      </c>
      <c r="B485" s="47">
        <v>31</v>
      </c>
      <c r="C485" s="38">
        <v>122.58</v>
      </c>
      <c r="D485" s="38">
        <v>297.94099999999997</v>
      </c>
      <c r="E485" s="44">
        <v>729.47900000000004</v>
      </c>
      <c r="F485" s="38">
        <v>1150</v>
      </c>
      <c r="G485" s="38">
        <v>100</v>
      </c>
      <c r="H485" s="46">
        <v>600</v>
      </c>
      <c r="I485" s="38">
        <v>695</v>
      </c>
      <c r="J485" s="38">
        <v>50</v>
      </c>
      <c r="K485" s="39"/>
      <c r="L485" s="39"/>
      <c r="M485" s="39"/>
      <c r="N485" s="39"/>
      <c r="O485" s="39"/>
      <c r="P485" s="39"/>
      <c r="Q485" s="39"/>
      <c r="R485" s="39"/>
      <c r="S485" s="39"/>
      <c r="T485" s="39"/>
    </row>
    <row r="486" spans="1:20" ht="15.75">
      <c r="A486" s="13">
        <v>55943</v>
      </c>
      <c r="B486" s="47">
        <v>28</v>
      </c>
      <c r="C486" s="38">
        <v>122.58</v>
      </c>
      <c r="D486" s="38">
        <v>297.94099999999997</v>
      </c>
      <c r="E486" s="44">
        <v>729.47900000000004</v>
      </c>
      <c r="F486" s="38">
        <v>1150</v>
      </c>
      <c r="G486" s="38">
        <v>100</v>
      </c>
      <c r="H486" s="46">
        <v>600</v>
      </c>
      <c r="I486" s="38">
        <v>695</v>
      </c>
      <c r="J486" s="38">
        <v>50</v>
      </c>
      <c r="K486" s="39"/>
      <c r="L486" s="39"/>
      <c r="M486" s="39"/>
      <c r="N486" s="39"/>
      <c r="O486" s="39"/>
      <c r="P486" s="39"/>
      <c r="Q486" s="39"/>
      <c r="R486" s="39"/>
      <c r="S486" s="39"/>
      <c r="T486" s="39"/>
    </row>
    <row r="487" spans="1:20" ht="15.75">
      <c r="A487" s="13">
        <v>55974</v>
      </c>
      <c r="B487" s="47">
        <v>31</v>
      </c>
      <c r="C487" s="38">
        <v>122.58</v>
      </c>
      <c r="D487" s="38">
        <v>297.94099999999997</v>
      </c>
      <c r="E487" s="44">
        <v>729.47900000000004</v>
      </c>
      <c r="F487" s="38">
        <v>1150</v>
      </c>
      <c r="G487" s="38">
        <v>100</v>
      </c>
      <c r="H487" s="46">
        <v>600</v>
      </c>
      <c r="I487" s="38">
        <v>695</v>
      </c>
      <c r="J487" s="38">
        <v>50</v>
      </c>
      <c r="K487" s="39"/>
      <c r="L487" s="39"/>
      <c r="M487" s="39"/>
      <c r="N487" s="39"/>
      <c r="O487" s="39"/>
      <c r="P487" s="39"/>
      <c r="Q487" s="39"/>
      <c r="R487" s="39"/>
      <c r="S487" s="39"/>
      <c r="T487" s="39"/>
    </row>
    <row r="488" spans="1:20" ht="15.75">
      <c r="A488" s="13">
        <v>56004</v>
      </c>
      <c r="B488" s="47">
        <v>30</v>
      </c>
      <c r="C488" s="38">
        <v>141.29300000000001</v>
      </c>
      <c r="D488" s="38">
        <v>267.99299999999999</v>
      </c>
      <c r="E488" s="44">
        <v>829.71400000000006</v>
      </c>
      <c r="F488" s="38">
        <v>1239</v>
      </c>
      <c r="G488" s="38">
        <v>100</v>
      </c>
      <c r="H488" s="46">
        <v>600</v>
      </c>
      <c r="I488" s="38">
        <v>695</v>
      </c>
      <c r="J488" s="38">
        <v>50</v>
      </c>
      <c r="K488" s="39"/>
      <c r="L488" s="39"/>
      <c r="M488" s="39"/>
      <c r="N488" s="39"/>
      <c r="O488" s="39"/>
      <c r="P488" s="39"/>
      <c r="Q488" s="39"/>
      <c r="R488" s="39"/>
      <c r="S488" s="39"/>
      <c r="T488" s="39"/>
    </row>
    <row r="489" spans="1:20" ht="15.75">
      <c r="A489" s="13">
        <v>56035</v>
      </c>
      <c r="B489" s="47">
        <v>31</v>
      </c>
      <c r="C489" s="38">
        <v>194.20500000000001</v>
      </c>
      <c r="D489" s="38">
        <v>267.46600000000001</v>
      </c>
      <c r="E489" s="44">
        <v>812.32899999999995</v>
      </c>
      <c r="F489" s="38">
        <v>1274</v>
      </c>
      <c r="G489" s="38">
        <v>75</v>
      </c>
      <c r="H489" s="46">
        <v>600</v>
      </c>
      <c r="I489" s="38">
        <v>695</v>
      </c>
      <c r="J489" s="38">
        <v>50</v>
      </c>
      <c r="K489" s="39"/>
      <c r="L489" s="39"/>
      <c r="M489" s="39"/>
      <c r="N489" s="39"/>
      <c r="O489" s="39"/>
      <c r="P489" s="39"/>
      <c r="Q489" s="39"/>
      <c r="R489" s="39"/>
      <c r="S489" s="39"/>
      <c r="T489" s="39"/>
    </row>
    <row r="490" spans="1:20" ht="15.75">
      <c r="A490" s="13">
        <v>56065</v>
      </c>
      <c r="B490" s="47">
        <v>30</v>
      </c>
      <c r="C490" s="38">
        <v>194.20500000000001</v>
      </c>
      <c r="D490" s="38">
        <v>267.46600000000001</v>
      </c>
      <c r="E490" s="44">
        <v>812.32899999999995</v>
      </c>
      <c r="F490" s="38">
        <v>1274</v>
      </c>
      <c r="G490" s="38">
        <v>50</v>
      </c>
      <c r="H490" s="46">
        <v>600</v>
      </c>
      <c r="I490" s="38">
        <v>695</v>
      </c>
      <c r="J490" s="38">
        <v>50</v>
      </c>
      <c r="K490" s="39"/>
      <c r="L490" s="39"/>
      <c r="M490" s="39"/>
      <c r="N490" s="39"/>
      <c r="O490" s="39"/>
      <c r="P490" s="39"/>
      <c r="Q490" s="39"/>
      <c r="R490" s="39"/>
      <c r="S490" s="39"/>
      <c r="T490" s="39"/>
    </row>
    <row r="491" spans="1:20" ht="15.75">
      <c r="A491" s="13">
        <v>56096</v>
      </c>
      <c r="B491" s="47">
        <v>31</v>
      </c>
      <c r="C491" s="38">
        <v>194.20500000000001</v>
      </c>
      <c r="D491" s="38">
        <v>267.46600000000001</v>
      </c>
      <c r="E491" s="44">
        <v>812.32899999999995</v>
      </c>
      <c r="F491" s="38">
        <v>1274</v>
      </c>
      <c r="G491" s="38">
        <v>50</v>
      </c>
      <c r="H491" s="46">
        <v>600</v>
      </c>
      <c r="I491" s="38">
        <v>695</v>
      </c>
      <c r="J491" s="38">
        <v>0</v>
      </c>
      <c r="K491" s="39"/>
      <c r="L491" s="39"/>
      <c r="M491" s="39"/>
      <c r="N491" s="39"/>
      <c r="O491" s="39"/>
      <c r="P491" s="39"/>
      <c r="Q491" s="39"/>
      <c r="R491" s="39"/>
      <c r="S491" s="39"/>
      <c r="T491" s="39"/>
    </row>
    <row r="492" spans="1:20" ht="15.75">
      <c r="A492" s="13">
        <v>56127</v>
      </c>
      <c r="B492" s="47">
        <v>31</v>
      </c>
      <c r="C492" s="38">
        <v>194.20500000000001</v>
      </c>
      <c r="D492" s="38">
        <v>267.46600000000001</v>
      </c>
      <c r="E492" s="44">
        <v>812.32899999999995</v>
      </c>
      <c r="F492" s="38">
        <v>1274</v>
      </c>
      <c r="G492" s="38">
        <v>50</v>
      </c>
      <c r="H492" s="46">
        <v>600</v>
      </c>
      <c r="I492" s="38">
        <v>695</v>
      </c>
      <c r="J492" s="38">
        <v>0</v>
      </c>
      <c r="K492" s="39"/>
      <c r="L492" s="39"/>
      <c r="M492" s="39"/>
      <c r="N492" s="39"/>
      <c r="O492" s="39"/>
      <c r="P492" s="39"/>
      <c r="Q492" s="39"/>
      <c r="R492" s="39"/>
      <c r="S492" s="39"/>
      <c r="T492" s="39"/>
    </row>
    <row r="493" spans="1:20" ht="15.75">
      <c r="A493" s="13">
        <v>56157</v>
      </c>
      <c r="B493" s="47">
        <v>30</v>
      </c>
      <c r="C493" s="38">
        <v>194.20500000000001</v>
      </c>
      <c r="D493" s="38">
        <v>267.46600000000001</v>
      </c>
      <c r="E493" s="44">
        <v>812.32899999999995</v>
      </c>
      <c r="F493" s="38">
        <v>1274</v>
      </c>
      <c r="G493" s="38">
        <v>50</v>
      </c>
      <c r="H493" s="46">
        <v>600</v>
      </c>
      <c r="I493" s="38">
        <v>695</v>
      </c>
      <c r="J493" s="38">
        <v>0</v>
      </c>
      <c r="K493" s="39"/>
      <c r="L493" s="39"/>
      <c r="M493" s="39"/>
      <c r="N493" s="39"/>
      <c r="O493" s="39"/>
      <c r="P493" s="39"/>
      <c r="Q493" s="39"/>
      <c r="R493" s="39"/>
      <c r="S493" s="39"/>
      <c r="T493" s="39"/>
    </row>
    <row r="494" spans="1:20" ht="15.75">
      <c r="A494" s="13">
        <v>56188</v>
      </c>
      <c r="B494" s="47">
        <v>31</v>
      </c>
      <c r="C494" s="38">
        <v>131.881</v>
      </c>
      <c r="D494" s="38">
        <v>277.16699999999997</v>
      </c>
      <c r="E494" s="44">
        <v>829.952</v>
      </c>
      <c r="F494" s="38">
        <v>1239</v>
      </c>
      <c r="G494" s="38">
        <v>75</v>
      </c>
      <c r="H494" s="46">
        <v>600</v>
      </c>
      <c r="I494" s="38">
        <v>695</v>
      </c>
      <c r="J494" s="38">
        <v>0</v>
      </c>
      <c r="K494" s="39"/>
      <c r="L494" s="39"/>
      <c r="M494" s="39"/>
      <c r="N494" s="39"/>
      <c r="O494" s="39"/>
      <c r="P494" s="39"/>
      <c r="Q494" s="39"/>
      <c r="R494" s="39"/>
      <c r="S494" s="39"/>
      <c r="T494" s="39"/>
    </row>
    <row r="495" spans="1:20" ht="15.75">
      <c r="A495" s="13">
        <v>56218</v>
      </c>
      <c r="B495" s="47">
        <v>30</v>
      </c>
      <c r="C495" s="38">
        <v>122.58</v>
      </c>
      <c r="D495" s="38">
        <v>297.94099999999997</v>
      </c>
      <c r="E495" s="44">
        <v>729.47900000000004</v>
      </c>
      <c r="F495" s="38">
        <v>1150</v>
      </c>
      <c r="G495" s="38">
        <v>100</v>
      </c>
      <c r="H495" s="46">
        <v>600</v>
      </c>
      <c r="I495" s="38">
        <v>695</v>
      </c>
      <c r="J495" s="38">
        <v>50</v>
      </c>
      <c r="K495" s="39"/>
      <c r="L495" s="39"/>
      <c r="M495" s="39"/>
      <c r="N495" s="39"/>
      <c r="O495" s="39"/>
      <c r="P495" s="39"/>
      <c r="Q495" s="39"/>
      <c r="R495" s="39"/>
      <c r="S495" s="39"/>
      <c r="T495" s="39"/>
    </row>
    <row r="496" spans="1:20" ht="15.75">
      <c r="A496" s="13">
        <v>56249</v>
      </c>
      <c r="B496" s="47">
        <v>31</v>
      </c>
      <c r="C496" s="38">
        <v>122.58</v>
      </c>
      <c r="D496" s="38">
        <v>297.94099999999997</v>
      </c>
      <c r="E496" s="44">
        <v>729.47900000000004</v>
      </c>
      <c r="F496" s="38">
        <v>1150</v>
      </c>
      <c r="G496" s="38">
        <v>100</v>
      </c>
      <c r="H496" s="46">
        <v>600</v>
      </c>
      <c r="I496" s="38">
        <v>695</v>
      </c>
      <c r="J496" s="38">
        <v>50</v>
      </c>
      <c r="K496" s="39"/>
      <c r="L496" s="39"/>
      <c r="M496" s="39"/>
      <c r="N496" s="39"/>
      <c r="O496" s="39"/>
      <c r="P496" s="39"/>
      <c r="Q496" s="39"/>
      <c r="R496" s="39"/>
      <c r="S496" s="39"/>
      <c r="T496" s="39"/>
    </row>
    <row r="497" spans="1:20" ht="15.75">
      <c r="A497" s="13">
        <v>56280</v>
      </c>
      <c r="B497" s="47">
        <v>31</v>
      </c>
      <c r="C497" s="38">
        <v>122.58</v>
      </c>
      <c r="D497" s="38">
        <v>297.94099999999997</v>
      </c>
      <c r="E497" s="44">
        <v>729.47900000000004</v>
      </c>
      <c r="F497" s="38">
        <v>1150</v>
      </c>
      <c r="G497" s="38">
        <v>100</v>
      </c>
      <c r="H497" s="46">
        <v>600</v>
      </c>
      <c r="I497" s="38">
        <v>695</v>
      </c>
      <c r="J497" s="38">
        <v>50</v>
      </c>
      <c r="K497" s="39"/>
      <c r="L497" s="39"/>
      <c r="M497" s="39"/>
      <c r="N497" s="39"/>
      <c r="O497" s="39"/>
      <c r="P497" s="39"/>
      <c r="Q497" s="39"/>
      <c r="R497" s="39"/>
      <c r="S497" s="39"/>
      <c r="T497" s="39"/>
    </row>
    <row r="498" spans="1:20" ht="15.75">
      <c r="A498" s="13">
        <v>56308</v>
      </c>
      <c r="B498" s="47">
        <v>28</v>
      </c>
      <c r="C498" s="38">
        <v>122.58</v>
      </c>
      <c r="D498" s="38">
        <v>297.94099999999997</v>
      </c>
      <c r="E498" s="44">
        <v>729.47900000000004</v>
      </c>
      <c r="F498" s="38">
        <v>1150</v>
      </c>
      <c r="G498" s="38">
        <v>100</v>
      </c>
      <c r="H498" s="46">
        <v>600</v>
      </c>
      <c r="I498" s="38">
        <v>695</v>
      </c>
      <c r="J498" s="38">
        <v>50</v>
      </c>
      <c r="K498" s="39"/>
      <c r="L498" s="39"/>
      <c r="M498" s="39"/>
      <c r="N498" s="39"/>
      <c r="O498" s="39"/>
      <c r="P498" s="39"/>
      <c r="Q498" s="39"/>
      <c r="R498" s="39"/>
      <c r="S498" s="39"/>
      <c r="T498" s="39"/>
    </row>
    <row r="499" spans="1:20" ht="15.75">
      <c r="A499" s="13">
        <v>56339</v>
      </c>
      <c r="B499" s="47">
        <v>31</v>
      </c>
      <c r="C499" s="38">
        <v>122.58</v>
      </c>
      <c r="D499" s="38">
        <v>297.94099999999997</v>
      </c>
      <c r="E499" s="44">
        <v>729.47900000000004</v>
      </c>
      <c r="F499" s="38">
        <v>1150</v>
      </c>
      <c r="G499" s="38">
        <v>100</v>
      </c>
      <c r="H499" s="46">
        <v>600</v>
      </c>
      <c r="I499" s="38">
        <v>695</v>
      </c>
      <c r="J499" s="38">
        <v>50</v>
      </c>
      <c r="K499" s="39"/>
      <c r="L499" s="39"/>
      <c r="M499" s="39"/>
      <c r="N499" s="39"/>
      <c r="O499" s="39"/>
      <c r="P499" s="39"/>
      <c r="Q499" s="39"/>
      <c r="R499" s="39"/>
      <c r="S499" s="39"/>
      <c r="T499" s="39"/>
    </row>
    <row r="500" spans="1:20" ht="15.75">
      <c r="A500" s="13">
        <v>56369</v>
      </c>
      <c r="B500" s="47">
        <v>30</v>
      </c>
      <c r="C500" s="38">
        <v>141.29300000000001</v>
      </c>
      <c r="D500" s="38">
        <v>267.99299999999999</v>
      </c>
      <c r="E500" s="44">
        <v>829.71400000000006</v>
      </c>
      <c r="F500" s="38">
        <v>1239</v>
      </c>
      <c r="G500" s="38">
        <v>100</v>
      </c>
      <c r="H500" s="46">
        <v>600</v>
      </c>
      <c r="I500" s="38">
        <v>695</v>
      </c>
      <c r="J500" s="38">
        <v>50</v>
      </c>
      <c r="K500" s="39"/>
      <c r="L500" s="39"/>
      <c r="M500" s="39"/>
      <c r="N500" s="39"/>
      <c r="O500" s="39"/>
      <c r="P500" s="39"/>
      <c r="Q500" s="39"/>
      <c r="R500" s="39"/>
      <c r="S500" s="39"/>
      <c r="T500" s="39"/>
    </row>
    <row r="501" spans="1:20" ht="15.75">
      <c r="A501" s="13">
        <v>56400</v>
      </c>
      <c r="B501" s="47">
        <v>31</v>
      </c>
      <c r="C501" s="38">
        <v>194.20500000000001</v>
      </c>
      <c r="D501" s="38">
        <v>267.46600000000001</v>
      </c>
      <c r="E501" s="44">
        <v>812.32899999999995</v>
      </c>
      <c r="F501" s="38">
        <v>1274</v>
      </c>
      <c r="G501" s="38">
        <v>75</v>
      </c>
      <c r="H501" s="46">
        <v>600</v>
      </c>
      <c r="I501" s="38">
        <v>695</v>
      </c>
      <c r="J501" s="38">
        <v>50</v>
      </c>
      <c r="K501" s="39"/>
      <c r="L501" s="39"/>
      <c r="M501" s="39"/>
      <c r="N501" s="39"/>
      <c r="O501" s="39"/>
      <c r="P501" s="39"/>
      <c r="Q501" s="39"/>
      <c r="R501" s="39"/>
      <c r="S501" s="39"/>
      <c r="T501" s="39"/>
    </row>
    <row r="502" spans="1:20" ht="15.75">
      <c r="A502" s="13">
        <v>56430</v>
      </c>
      <c r="B502" s="47">
        <v>30</v>
      </c>
      <c r="C502" s="38">
        <v>194.20500000000001</v>
      </c>
      <c r="D502" s="38">
        <v>267.46600000000001</v>
      </c>
      <c r="E502" s="44">
        <v>812.32899999999995</v>
      </c>
      <c r="F502" s="38">
        <v>1274</v>
      </c>
      <c r="G502" s="38">
        <v>50</v>
      </c>
      <c r="H502" s="46">
        <v>600</v>
      </c>
      <c r="I502" s="38">
        <v>695</v>
      </c>
      <c r="J502" s="38">
        <v>50</v>
      </c>
      <c r="K502" s="39"/>
      <c r="L502" s="39"/>
      <c r="M502" s="39"/>
      <c r="N502" s="39"/>
      <c r="O502" s="39"/>
      <c r="P502" s="39"/>
      <c r="Q502" s="39"/>
      <c r="R502" s="39"/>
      <c r="S502" s="39"/>
      <c r="T502" s="39"/>
    </row>
    <row r="503" spans="1:20" ht="15.75">
      <c r="A503" s="13">
        <v>56461</v>
      </c>
      <c r="B503" s="47">
        <v>31</v>
      </c>
      <c r="C503" s="38">
        <v>194.20500000000001</v>
      </c>
      <c r="D503" s="38">
        <v>267.46600000000001</v>
      </c>
      <c r="E503" s="44">
        <v>812.32899999999995</v>
      </c>
      <c r="F503" s="38">
        <v>1274</v>
      </c>
      <c r="G503" s="38">
        <v>50</v>
      </c>
      <c r="H503" s="46">
        <v>600</v>
      </c>
      <c r="I503" s="38">
        <v>695</v>
      </c>
      <c r="J503" s="38">
        <v>0</v>
      </c>
      <c r="K503" s="39"/>
      <c r="L503" s="39"/>
      <c r="M503" s="39"/>
      <c r="N503" s="39"/>
      <c r="O503" s="39"/>
      <c r="P503" s="39"/>
      <c r="Q503" s="39"/>
      <c r="R503" s="39"/>
      <c r="S503" s="39"/>
      <c r="T503" s="39"/>
    </row>
    <row r="504" spans="1:20" ht="15.75">
      <c r="A504" s="13">
        <v>56492</v>
      </c>
      <c r="B504" s="47">
        <v>31</v>
      </c>
      <c r="C504" s="38">
        <v>194.20500000000001</v>
      </c>
      <c r="D504" s="38">
        <v>267.46600000000001</v>
      </c>
      <c r="E504" s="44">
        <v>812.32899999999995</v>
      </c>
      <c r="F504" s="38">
        <v>1274</v>
      </c>
      <c r="G504" s="38">
        <v>50</v>
      </c>
      <c r="H504" s="46">
        <v>600</v>
      </c>
      <c r="I504" s="38">
        <v>695</v>
      </c>
      <c r="J504" s="38">
        <v>0</v>
      </c>
      <c r="K504" s="39"/>
      <c r="L504" s="39"/>
      <c r="M504" s="39"/>
      <c r="N504" s="39"/>
      <c r="O504" s="39"/>
      <c r="P504" s="39"/>
      <c r="Q504" s="39"/>
      <c r="R504" s="39"/>
      <c r="S504" s="39"/>
      <c r="T504" s="39"/>
    </row>
    <row r="505" spans="1:20" ht="15.75">
      <c r="A505" s="13">
        <v>56522</v>
      </c>
      <c r="B505" s="47">
        <v>30</v>
      </c>
      <c r="C505" s="38">
        <v>194.20500000000001</v>
      </c>
      <c r="D505" s="38">
        <v>267.46600000000001</v>
      </c>
      <c r="E505" s="44">
        <v>812.32899999999995</v>
      </c>
      <c r="F505" s="38">
        <v>1274</v>
      </c>
      <c r="G505" s="38">
        <v>50</v>
      </c>
      <c r="H505" s="46">
        <v>600</v>
      </c>
      <c r="I505" s="38">
        <v>695</v>
      </c>
      <c r="J505" s="38">
        <v>0</v>
      </c>
      <c r="K505" s="39"/>
      <c r="L505" s="39"/>
      <c r="M505" s="39"/>
      <c r="N505" s="39"/>
      <c r="O505" s="39"/>
      <c r="P505" s="39"/>
      <c r="Q505" s="39"/>
      <c r="R505" s="39"/>
      <c r="S505" s="39"/>
      <c r="T505" s="39"/>
    </row>
    <row r="506" spans="1:20" ht="15.75">
      <c r="A506" s="13">
        <v>56553</v>
      </c>
      <c r="B506" s="47">
        <v>31</v>
      </c>
      <c r="C506" s="38">
        <v>131.881</v>
      </c>
      <c r="D506" s="38">
        <v>277.16699999999997</v>
      </c>
      <c r="E506" s="44">
        <v>829.952</v>
      </c>
      <c r="F506" s="38">
        <v>1239</v>
      </c>
      <c r="G506" s="38">
        <v>75</v>
      </c>
      <c r="H506" s="46">
        <v>600</v>
      </c>
      <c r="I506" s="38">
        <v>695</v>
      </c>
      <c r="J506" s="38">
        <v>0</v>
      </c>
      <c r="K506" s="39"/>
      <c r="L506" s="39"/>
      <c r="M506" s="39"/>
      <c r="N506" s="39"/>
      <c r="O506" s="39"/>
      <c r="P506" s="39"/>
      <c r="Q506" s="39"/>
      <c r="R506" s="39"/>
      <c r="S506" s="39"/>
      <c r="T506" s="39"/>
    </row>
    <row r="507" spans="1:20" ht="15.75">
      <c r="A507" s="13">
        <v>56583</v>
      </c>
      <c r="B507" s="47">
        <v>30</v>
      </c>
      <c r="C507" s="38">
        <v>122.58</v>
      </c>
      <c r="D507" s="38">
        <v>297.94099999999997</v>
      </c>
      <c r="E507" s="44">
        <v>729.47900000000004</v>
      </c>
      <c r="F507" s="38">
        <v>1150</v>
      </c>
      <c r="G507" s="38">
        <v>100</v>
      </c>
      <c r="H507" s="46">
        <v>600</v>
      </c>
      <c r="I507" s="38">
        <v>695</v>
      </c>
      <c r="J507" s="38">
        <v>50</v>
      </c>
      <c r="K507" s="39"/>
      <c r="L507" s="39"/>
      <c r="M507" s="39"/>
      <c r="N507" s="39"/>
      <c r="O507" s="39"/>
      <c r="P507" s="39"/>
      <c r="Q507" s="39"/>
      <c r="R507" s="39"/>
      <c r="S507" s="39"/>
      <c r="T507" s="39"/>
    </row>
    <row r="508" spans="1:20" ht="15.75">
      <c r="A508" s="13">
        <v>56614</v>
      </c>
      <c r="B508" s="47">
        <v>31</v>
      </c>
      <c r="C508" s="38">
        <v>122.58</v>
      </c>
      <c r="D508" s="38">
        <v>297.94099999999997</v>
      </c>
      <c r="E508" s="44">
        <v>729.47900000000004</v>
      </c>
      <c r="F508" s="38">
        <v>1150</v>
      </c>
      <c r="G508" s="38">
        <v>100</v>
      </c>
      <c r="H508" s="46">
        <v>600</v>
      </c>
      <c r="I508" s="38">
        <v>695</v>
      </c>
      <c r="J508" s="38">
        <v>50</v>
      </c>
      <c r="K508" s="39"/>
      <c r="L508" s="39"/>
      <c r="M508" s="39"/>
      <c r="N508" s="39"/>
      <c r="O508" s="39"/>
      <c r="P508" s="39"/>
      <c r="Q508" s="39"/>
      <c r="R508" s="39"/>
      <c r="S508" s="39"/>
      <c r="T508" s="39"/>
    </row>
    <row r="509" spans="1:20" ht="15.75">
      <c r="A509" s="13">
        <v>56645</v>
      </c>
      <c r="B509" s="47">
        <v>31</v>
      </c>
      <c r="C509" s="38">
        <v>122.58</v>
      </c>
      <c r="D509" s="38">
        <v>297.94099999999997</v>
      </c>
      <c r="E509" s="44">
        <v>729.47900000000004</v>
      </c>
      <c r="F509" s="38">
        <v>1150</v>
      </c>
      <c r="G509" s="38">
        <v>100</v>
      </c>
      <c r="H509" s="46">
        <v>600</v>
      </c>
      <c r="I509" s="38">
        <v>695</v>
      </c>
      <c r="J509" s="38">
        <v>50</v>
      </c>
      <c r="K509" s="39"/>
      <c r="L509" s="39"/>
      <c r="M509" s="39"/>
      <c r="N509" s="39"/>
      <c r="O509" s="39"/>
      <c r="P509" s="39"/>
      <c r="Q509" s="39"/>
      <c r="R509" s="39"/>
      <c r="S509" s="39"/>
      <c r="T509" s="39"/>
    </row>
    <row r="510" spans="1:20" ht="15.75">
      <c r="A510" s="13">
        <v>56673</v>
      </c>
      <c r="B510" s="47">
        <v>28</v>
      </c>
      <c r="C510" s="38">
        <v>122.58</v>
      </c>
      <c r="D510" s="38">
        <v>297.94099999999997</v>
      </c>
      <c r="E510" s="44">
        <v>729.47900000000004</v>
      </c>
      <c r="F510" s="38">
        <v>1150</v>
      </c>
      <c r="G510" s="38">
        <v>100</v>
      </c>
      <c r="H510" s="46">
        <v>600</v>
      </c>
      <c r="I510" s="38">
        <v>695</v>
      </c>
      <c r="J510" s="38">
        <v>50</v>
      </c>
      <c r="K510" s="39"/>
      <c r="L510" s="39"/>
      <c r="M510" s="39"/>
      <c r="N510" s="39"/>
      <c r="O510" s="39"/>
      <c r="P510" s="39"/>
      <c r="Q510" s="39"/>
      <c r="R510" s="39"/>
      <c r="S510" s="39"/>
      <c r="T510" s="39"/>
    </row>
    <row r="511" spans="1:20" ht="15.75">
      <c r="A511" s="13">
        <v>56704</v>
      </c>
      <c r="B511" s="47">
        <v>31</v>
      </c>
      <c r="C511" s="38">
        <v>122.58</v>
      </c>
      <c r="D511" s="38">
        <v>297.94099999999997</v>
      </c>
      <c r="E511" s="44">
        <v>729.47900000000004</v>
      </c>
      <c r="F511" s="38">
        <v>1150</v>
      </c>
      <c r="G511" s="38">
        <v>100</v>
      </c>
      <c r="H511" s="46">
        <v>600</v>
      </c>
      <c r="I511" s="38">
        <v>695</v>
      </c>
      <c r="J511" s="38">
        <v>50</v>
      </c>
      <c r="K511" s="39"/>
      <c r="L511" s="39"/>
      <c r="M511" s="39"/>
      <c r="N511" s="39"/>
      <c r="O511" s="39"/>
      <c r="P511" s="39"/>
      <c r="Q511" s="39"/>
      <c r="R511" s="39"/>
      <c r="S511" s="39"/>
      <c r="T511" s="39"/>
    </row>
    <row r="512" spans="1:20" ht="15.75">
      <c r="A512" s="13">
        <v>56734</v>
      </c>
      <c r="B512" s="47">
        <v>30</v>
      </c>
      <c r="C512" s="38">
        <v>141.29300000000001</v>
      </c>
      <c r="D512" s="38">
        <v>267.99299999999999</v>
      </c>
      <c r="E512" s="44">
        <v>829.71400000000006</v>
      </c>
      <c r="F512" s="38">
        <v>1239</v>
      </c>
      <c r="G512" s="38">
        <v>100</v>
      </c>
      <c r="H512" s="46">
        <v>600</v>
      </c>
      <c r="I512" s="38">
        <v>695</v>
      </c>
      <c r="J512" s="38">
        <v>50</v>
      </c>
      <c r="K512" s="39"/>
      <c r="L512" s="39"/>
      <c r="M512" s="39"/>
      <c r="N512" s="39"/>
      <c r="O512" s="39"/>
      <c r="P512" s="39"/>
      <c r="Q512" s="39"/>
      <c r="R512" s="39"/>
      <c r="S512" s="39"/>
      <c r="T512" s="39"/>
    </row>
    <row r="513" spans="1:20" ht="15.75">
      <c r="A513" s="13">
        <v>56765</v>
      </c>
      <c r="B513" s="47">
        <v>31</v>
      </c>
      <c r="C513" s="38">
        <v>194.20500000000001</v>
      </c>
      <c r="D513" s="38">
        <v>267.46600000000001</v>
      </c>
      <c r="E513" s="44">
        <v>812.32899999999995</v>
      </c>
      <c r="F513" s="38">
        <v>1274</v>
      </c>
      <c r="G513" s="38">
        <v>75</v>
      </c>
      <c r="H513" s="46">
        <v>600</v>
      </c>
      <c r="I513" s="38">
        <v>695</v>
      </c>
      <c r="J513" s="38">
        <v>50</v>
      </c>
      <c r="K513" s="39"/>
      <c r="L513" s="39"/>
      <c r="M513" s="39"/>
      <c r="N513" s="39"/>
      <c r="O513" s="39"/>
      <c r="P513" s="39"/>
      <c r="Q513" s="39"/>
      <c r="R513" s="39"/>
      <c r="S513" s="39"/>
      <c r="T513" s="39"/>
    </row>
    <row r="514" spans="1:20" ht="15.75">
      <c r="A514" s="13">
        <v>56795</v>
      </c>
      <c r="B514" s="47">
        <v>30</v>
      </c>
      <c r="C514" s="38">
        <v>194.20500000000001</v>
      </c>
      <c r="D514" s="38">
        <v>267.46600000000001</v>
      </c>
      <c r="E514" s="44">
        <v>812.32899999999995</v>
      </c>
      <c r="F514" s="38">
        <v>1274</v>
      </c>
      <c r="G514" s="38">
        <v>50</v>
      </c>
      <c r="H514" s="46">
        <v>600</v>
      </c>
      <c r="I514" s="38">
        <v>695</v>
      </c>
      <c r="J514" s="38">
        <v>50</v>
      </c>
      <c r="K514" s="39"/>
      <c r="L514" s="39"/>
      <c r="M514" s="39"/>
      <c r="N514" s="39"/>
      <c r="O514" s="39"/>
      <c r="P514" s="39"/>
      <c r="Q514" s="39"/>
      <c r="R514" s="39"/>
      <c r="S514" s="39"/>
      <c r="T514" s="39"/>
    </row>
    <row r="515" spans="1:20" ht="15.75">
      <c r="A515" s="13">
        <v>56826</v>
      </c>
      <c r="B515" s="47">
        <v>31</v>
      </c>
      <c r="C515" s="38">
        <v>194.20500000000001</v>
      </c>
      <c r="D515" s="38">
        <v>267.46600000000001</v>
      </c>
      <c r="E515" s="44">
        <v>812.32899999999995</v>
      </c>
      <c r="F515" s="38">
        <v>1274</v>
      </c>
      <c r="G515" s="38">
        <v>50</v>
      </c>
      <c r="H515" s="46">
        <v>600</v>
      </c>
      <c r="I515" s="38">
        <v>695</v>
      </c>
      <c r="J515" s="38">
        <v>0</v>
      </c>
      <c r="K515" s="39"/>
      <c r="L515" s="39"/>
      <c r="M515" s="39"/>
      <c r="N515" s="39"/>
      <c r="O515" s="39"/>
      <c r="P515" s="39"/>
      <c r="Q515" s="39"/>
      <c r="R515" s="39"/>
      <c r="S515" s="39"/>
      <c r="T515" s="39"/>
    </row>
    <row r="516" spans="1:20" ht="15.75">
      <c r="A516" s="13">
        <v>56857</v>
      </c>
      <c r="B516" s="47">
        <v>31</v>
      </c>
      <c r="C516" s="38">
        <v>194.20500000000001</v>
      </c>
      <c r="D516" s="38">
        <v>267.46600000000001</v>
      </c>
      <c r="E516" s="44">
        <v>812.32899999999995</v>
      </c>
      <c r="F516" s="38">
        <v>1274</v>
      </c>
      <c r="G516" s="38">
        <v>50</v>
      </c>
      <c r="H516" s="46">
        <v>600</v>
      </c>
      <c r="I516" s="38">
        <v>695</v>
      </c>
      <c r="J516" s="38">
        <v>0</v>
      </c>
      <c r="K516" s="39"/>
      <c r="L516" s="39"/>
      <c r="M516" s="39"/>
      <c r="N516" s="39"/>
      <c r="O516" s="39"/>
      <c r="P516" s="39"/>
      <c r="Q516" s="39"/>
      <c r="R516" s="39"/>
      <c r="S516" s="39"/>
      <c r="T516" s="39"/>
    </row>
    <row r="517" spans="1:20" ht="15.75">
      <c r="A517" s="13">
        <v>56887</v>
      </c>
      <c r="B517" s="47">
        <v>30</v>
      </c>
      <c r="C517" s="38">
        <v>194.20500000000001</v>
      </c>
      <c r="D517" s="38">
        <v>267.46600000000001</v>
      </c>
      <c r="E517" s="44">
        <v>812.32899999999995</v>
      </c>
      <c r="F517" s="38">
        <v>1274</v>
      </c>
      <c r="G517" s="38">
        <v>50</v>
      </c>
      <c r="H517" s="46">
        <v>600</v>
      </c>
      <c r="I517" s="38">
        <v>695</v>
      </c>
      <c r="J517" s="38">
        <v>0</v>
      </c>
      <c r="K517" s="39"/>
      <c r="L517" s="39"/>
      <c r="M517" s="39"/>
      <c r="N517" s="39"/>
      <c r="O517" s="39"/>
      <c r="P517" s="39"/>
      <c r="Q517" s="39"/>
      <c r="R517" s="39"/>
      <c r="S517" s="39"/>
      <c r="T517" s="39"/>
    </row>
    <row r="518" spans="1:20" ht="15.75">
      <c r="A518" s="13">
        <v>56918</v>
      </c>
      <c r="B518" s="47">
        <v>31</v>
      </c>
      <c r="C518" s="38">
        <v>131.881</v>
      </c>
      <c r="D518" s="38">
        <v>277.16699999999997</v>
      </c>
      <c r="E518" s="44">
        <v>829.952</v>
      </c>
      <c r="F518" s="38">
        <v>1239</v>
      </c>
      <c r="G518" s="38">
        <v>75</v>
      </c>
      <c r="H518" s="46">
        <v>600</v>
      </c>
      <c r="I518" s="38">
        <v>695</v>
      </c>
      <c r="J518" s="38">
        <v>0</v>
      </c>
      <c r="K518" s="39"/>
      <c r="L518" s="39"/>
      <c r="M518" s="39"/>
      <c r="N518" s="39"/>
      <c r="O518" s="39"/>
      <c r="P518" s="39"/>
      <c r="Q518" s="39"/>
      <c r="R518" s="39"/>
      <c r="S518" s="39"/>
      <c r="T518" s="39"/>
    </row>
    <row r="519" spans="1:20" ht="15.75">
      <c r="A519" s="13">
        <v>56948</v>
      </c>
      <c r="B519" s="47">
        <v>30</v>
      </c>
      <c r="C519" s="38">
        <v>122.58</v>
      </c>
      <c r="D519" s="38">
        <v>297.94099999999997</v>
      </c>
      <c r="E519" s="44">
        <v>729.47900000000004</v>
      </c>
      <c r="F519" s="38">
        <v>1150</v>
      </c>
      <c r="G519" s="38">
        <v>100</v>
      </c>
      <c r="H519" s="46">
        <v>600</v>
      </c>
      <c r="I519" s="38">
        <v>695</v>
      </c>
      <c r="J519" s="38">
        <v>50</v>
      </c>
      <c r="K519" s="39"/>
      <c r="L519" s="39"/>
      <c r="M519" s="39"/>
      <c r="N519" s="39"/>
      <c r="O519" s="39"/>
      <c r="P519" s="39"/>
      <c r="Q519" s="39"/>
      <c r="R519" s="39"/>
      <c r="S519" s="39"/>
      <c r="T519" s="39"/>
    </row>
    <row r="520" spans="1:20" ht="15.75">
      <c r="A520" s="13">
        <v>56979</v>
      </c>
      <c r="B520" s="47">
        <v>31</v>
      </c>
      <c r="C520" s="38">
        <v>122.58</v>
      </c>
      <c r="D520" s="38">
        <v>297.94099999999997</v>
      </c>
      <c r="E520" s="44">
        <v>729.47900000000004</v>
      </c>
      <c r="F520" s="38">
        <v>1150</v>
      </c>
      <c r="G520" s="38">
        <v>100</v>
      </c>
      <c r="H520" s="46">
        <v>600</v>
      </c>
      <c r="I520" s="38">
        <v>695</v>
      </c>
      <c r="J520" s="38">
        <v>50</v>
      </c>
      <c r="K520" s="39"/>
      <c r="L520" s="39"/>
      <c r="M520" s="39"/>
      <c r="N520" s="39"/>
      <c r="O520" s="39"/>
      <c r="P520" s="39"/>
      <c r="Q520" s="39"/>
      <c r="R520" s="39"/>
      <c r="S520" s="39"/>
      <c r="T520" s="39"/>
    </row>
    <row r="521" spans="1:20" ht="15.75">
      <c r="A521" s="13">
        <v>57010</v>
      </c>
      <c r="B521" s="47">
        <v>31</v>
      </c>
      <c r="C521" s="38">
        <v>122.58</v>
      </c>
      <c r="D521" s="38">
        <v>297.94099999999997</v>
      </c>
      <c r="E521" s="44">
        <v>729.47900000000004</v>
      </c>
      <c r="F521" s="38">
        <v>1150</v>
      </c>
      <c r="G521" s="38">
        <v>100</v>
      </c>
      <c r="H521" s="46">
        <v>600</v>
      </c>
      <c r="I521" s="38">
        <v>695</v>
      </c>
      <c r="J521" s="38">
        <v>50</v>
      </c>
      <c r="K521" s="39"/>
      <c r="L521" s="39"/>
      <c r="M521" s="39"/>
      <c r="N521" s="39"/>
      <c r="O521" s="39"/>
      <c r="P521" s="39"/>
      <c r="Q521" s="39"/>
      <c r="R521" s="39"/>
      <c r="S521" s="39"/>
      <c r="T521" s="39"/>
    </row>
    <row r="522" spans="1:20" ht="15.75">
      <c r="A522" s="13">
        <v>57038</v>
      </c>
      <c r="B522" s="47">
        <v>29</v>
      </c>
      <c r="C522" s="38">
        <v>122.58</v>
      </c>
      <c r="D522" s="38">
        <v>297.94099999999997</v>
      </c>
      <c r="E522" s="44">
        <v>729.47900000000004</v>
      </c>
      <c r="F522" s="38">
        <v>1150</v>
      </c>
      <c r="G522" s="38">
        <v>100</v>
      </c>
      <c r="H522" s="46">
        <v>600</v>
      </c>
      <c r="I522" s="38">
        <v>695</v>
      </c>
      <c r="J522" s="38">
        <v>50</v>
      </c>
      <c r="K522" s="39"/>
      <c r="L522" s="39"/>
      <c r="M522" s="39"/>
      <c r="N522" s="39"/>
      <c r="O522" s="39"/>
      <c r="P522" s="39"/>
      <c r="Q522" s="39"/>
      <c r="R522" s="39"/>
      <c r="S522" s="39"/>
      <c r="T522" s="39"/>
    </row>
    <row r="523" spans="1:20" ht="15.75">
      <c r="A523" s="13">
        <v>57070</v>
      </c>
      <c r="B523" s="47">
        <v>31</v>
      </c>
      <c r="C523" s="38">
        <v>122.58</v>
      </c>
      <c r="D523" s="38">
        <v>297.94099999999997</v>
      </c>
      <c r="E523" s="44">
        <v>729.47900000000004</v>
      </c>
      <c r="F523" s="38">
        <v>1150</v>
      </c>
      <c r="G523" s="38">
        <v>100</v>
      </c>
      <c r="H523" s="46">
        <v>600</v>
      </c>
      <c r="I523" s="38">
        <v>695</v>
      </c>
      <c r="J523" s="38">
        <v>50</v>
      </c>
      <c r="K523" s="39"/>
      <c r="L523" s="39"/>
      <c r="M523" s="39"/>
      <c r="N523" s="39"/>
      <c r="O523" s="39"/>
      <c r="P523" s="39"/>
      <c r="Q523" s="39"/>
      <c r="R523" s="39"/>
      <c r="S523" s="39"/>
      <c r="T523" s="39"/>
    </row>
    <row r="524" spans="1:20" ht="15.75">
      <c r="A524" s="13">
        <v>57100</v>
      </c>
      <c r="B524" s="47">
        <v>30</v>
      </c>
      <c r="C524" s="38">
        <v>141.29300000000001</v>
      </c>
      <c r="D524" s="38">
        <v>267.99299999999999</v>
      </c>
      <c r="E524" s="44">
        <v>829.71400000000006</v>
      </c>
      <c r="F524" s="38">
        <v>1239</v>
      </c>
      <c r="G524" s="38">
        <v>100</v>
      </c>
      <c r="H524" s="46">
        <v>600</v>
      </c>
      <c r="I524" s="38">
        <v>695</v>
      </c>
      <c r="J524" s="38">
        <v>50</v>
      </c>
      <c r="K524" s="39"/>
      <c r="L524" s="39"/>
      <c r="M524" s="39"/>
      <c r="N524" s="39"/>
      <c r="O524" s="39"/>
      <c r="P524" s="39"/>
      <c r="Q524" s="39"/>
      <c r="R524" s="39"/>
      <c r="S524" s="39"/>
      <c r="T524" s="39"/>
    </row>
    <row r="525" spans="1:20" ht="15.75">
      <c r="A525" s="13">
        <v>57131</v>
      </c>
      <c r="B525" s="47">
        <v>31</v>
      </c>
      <c r="C525" s="38">
        <v>194.20500000000001</v>
      </c>
      <c r="D525" s="38">
        <v>267.46600000000001</v>
      </c>
      <c r="E525" s="44">
        <v>812.32899999999995</v>
      </c>
      <c r="F525" s="38">
        <v>1274</v>
      </c>
      <c r="G525" s="38">
        <v>75</v>
      </c>
      <c r="H525" s="46">
        <v>600</v>
      </c>
      <c r="I525" s="38">
        <v>695</v>
      </c>
      <c r="J525" s="38">
        <v>50</v>
      </c>
      <c r="K525" s="39"/>
      <c r="L525" s="39"/>
      <c r="M525" s="39"/>
      <c r="N525" s="39"/>
      <c r="O525" s="39"/>
      <c r="P525" s="39"/>
      <c r="Q525" s="39"/>
      <c r="R525" s="39"/>
      <c r="S525" s="39"/>
      <c r="T525" s="39"/>
    </row>
    <row r="526" spans="1:20" ht="15.75">
      <c r="A526" s="13">
        <v>57161</v>
      </c>
      <c r="B526" s="47">
        <v>30</v>
      </c>
      <c r="C526" s="38">
        <v>194.20500000000001</v>
      </c>
      <c r="D526" s="38">
        <v>267.46600000000001</v>
      </c>
      <c r="E526" s="44">
        <v>812.32899999999995</v>
      </c>
      <c r="F526" s="38">
        <v>1274</v>
      </c>
      <c r="G526" s="38">
        <v>50</v>
      </c>
      <c r="H526" s="46">
        <v>600</v>
      </c>
      <c r="I526" s="38">
        <v>695</v>
      </c>
      <c r="J526" s="38">
        <v>50</v>
      </c>
      <c r="K526" s="39"/>
      <c r="L526" s="39"/>
      <c r="M526" s="39"/>
      <c r="N526" s="39"/>
      <c r="O526" s="39"/>
      <c r="P526" s="39"/>
      <c r="Q526" s="39"/>
      <c r="R526" s="39"/>
      <c r="S526" s="39"/>
      <c r="T526" s="39"/>
    </row>
    <row r="527" spans="1:20" ht="15.75">
      <c r="A527" s="13">
        <v>57192</v>
      </c>
      <c r="B527" s="47">
        <v>31</v>
      </c>
      <c r="C527" s="38">
        <v>194.20500000000001</v>
      </c>
      <c r="D527" s="38">
        <v>267.46600000000001</v>
      </c>
      <c r="E527" s="44">
        <v>812.32899999999995</v>
      </c>
      <c r="F527" s="38">
        <v>1274</v>
      </c>
      <c r="G527" s="38">
        <v>50</v>
      </c>
      <c r="H527" s="46">
        <v>600</v>
      </c>
      <c r="I527" s="38">
        <v>695</v>
      </c>
      <c r="J527" s="38">
        <v>0</v>
      </c>
      <c r="K527" s="39"/>
      <c r="L527" s="39"/>
      <c r="M527" s="39"/>
      <c r="N527" s="39"/>
      <c r="O527" s="39"/>
      <c r="P527" s="39"/>
      <c r="Q527" s="39"/>
      <c r="R527" s="39"/>
      <c r="S527" s="39"/>
      <c r="T527" s="39"/>
    </row>
    <row r="528" spans="1:20" ht="15.75">
      <c r="A528" s="13">
        <v>57223</v>
      </c>
      <c r="B528" s="47">
        <v>31</v>
      </c>
      <c r="C528" s="38">
        <v>194.20500000000001</v>
      </c>
      <c r="D528" s="38">
        <v>267.46600000000001</v>
      </c>
      <c r="E528" s="44">
        <v>812.32899999999995</v>
      </c>
      <c r="F528" s="38">
        <v>1274</v>
      </c>
      <c r="G528" s="38">
        <v>50</v>
      </c>
      <c r="H528" s="46">
        <v>600</v>
      </c>
      <c r="I528" s="38">
        <v>695</v>
      </c>
      <c r="J528" s="38">
        <v>0</v>
      </c>
      <c r="K528" s="39"/>
      <c r="L528" s="39"/>
      <c r="M528" s="39"/>
      <c r="N528" s="39"/>
      <c r="O528" s="39"/>
      <c r="P528" s="39"/>
      <c r="Q528" s="39"/>
      <c r="R528" s="39"/>
      <c r="S528" s="39"/>
      <c r="T528" s="39"/>
    </row>
    <row r="529" spans="1:20" ht="15.75">
      <c r="A529" s="13">
        <v>57253</v>
      </c>
      <c r="B529" s="47">
        <v>30</v>
      </c>
      <c r="C529" s="38">
        <v>194.20500000000001</v>
      </c>
      <c r="D529" s="38">
        <v>267.46600000000001</v>
      </c>
      <c r="E529" s="44">
        <v>812.32899999999995</v>
      </c>
      <c r="F529" s="38">
        <v>1274</v>
      </c>
      <c r="G529" s="38">
        <v>50</v>
      </c>
      <c r="H529" s="46">
        <v>600</v>
      </c>
      <c r="I529" s="38">
        <v>695</v>
      </c>
      <c r="J529" s="38">
        <v>0</v>
      </c>
      <c r="K529" s="39"/>
      <c r="L529" s="39"/>
      <c r="M529" s="39"/>
      <c r="N529" s="39"/>
      <c r="O529" s="39"/>
      <c r="P529" s="39"/>
      <c r="Q529" s="39"/>
      <c r="R529" s="39"/>
      <c r="S529" s="39"/>
      <c r="T529" s="39"/>
    </row>
    <row r="530" spans="1:20" ht="15.75">
      <c r="A530" s="13">
        <v>57284</v>
      </c>
      <c r="B530" s="47">
        <v>31</v>
      </c>
      <c r="C530" s="38">
        <v>131.881</v>
      </c>
      <c r="D530" s="38">
        <v>277.16699999999997</v>
      </c>
      <c r="E530" s="44">
        <v>829.952</v>
      </c>
      <c r="F530" s="38">
        <v>1239</v>
      </c>
      <c r="G530" s="38">
        <v>75</v>
      </c>
      <c r="H530" s="46">
        <v>600</v>
      </c>
      <c r="I530" s="38">
        <v>695</v>
      </c>
      <c r="J530" s="38">
        <v>0</v>
      </c>
      <c r="K530" s="39"/>
      <c r="L530" s="39"/>
      <c r="M530" s="39"/>
      <c r="N530" s="39"/>
      <c r="O530" s="39"/>
      <c r="P530" s="39"/>
      <c r="Q530" s="39"/>
      <c r="R530" s="39"/>
      <c r="S530" s="39"/>
      <c r="T530" s="39"/>
    </row>
    <row r="531" spans="1:20" ht="15.75">
      <c r="A531" s="13">
        <v>57314</v>
      </c>
      <c r="B531" s="47">
        <v>30</v>
      </c>
      <c r="C531" s="38">
        <v>122.58</v>
      </c>
      <c r="D531" s="38">
        <v>297.94099999999997</v>
      </c>
      <c r="E531" s="44">
        <v>729.47900000000004</v>
      </c>
      <c r="F531" s="38">
        <v>1150</v>
      </c>
      <c r="G531" s="38">
        <v>100</v>
      </c>
      <c r="H531" s="46">
        <v>600</v>
      </c>
      <c r="I531" s="38">
        <v>695</v>
      </c>
      <c r="J531" s="38">
        <v>50</v>
      </c>
      <c r="K531" s="39"/>
      <c r="L531" s="39"/>
      <c r="M531" s="39"/>
      <c r="N531" s="39"/>
      <c r="O531" s="39"/>
      <c r="P531" s="39"/>
      <c r="Q531" s="39"/>
      <c r="R531" s="39"/>
      <c r="S531" s="39"/>
      <c r="T531" s="39"/>
    </row>
    <row r="532" spans="1:20" ht="15.75">
      <c r="A532" s="13">
        <v>57345</v>
      </c>
      <c r="B532" s="47">
        <v>31</v>
      </c>
      <c r="C532" s="38">
        <v>122.58</v>
      </c>
      <c r="D532" s="38">
        <v>297.94099999999997</v>
      </c>
      <c r="E532" s="44">
        <v>729.47900000000004</v>
      </c>
      <c r="F532" s="38">
        <v>1150</v>
      </c>
      <c r="G532" s="38">
        <v>100</v>
      </c>
      <c r="H532" s="46">
        <v>600</v>
      </c>
      <c r="I532" s="38">
        <v>695</v>
      </c>
      <c r="J532" s="38">
        <v>50</v>
      </c>
      <c r="K532" s="39"/>
      <c r="L532" s="39"/>
      <c r="M532" s="39"/>
      <c r="N532" s="39"/>
      <c r="O532" s="39"/>
      <c r="P532" s="39"/>
      <c r="Q532" s="39"/>
      <c r="R532" s="39"/>
      <c r="S532" s="39"/>
      <c r="T532" s="39"/>
    </row>
    <row r="533" spans="1:20" ht="15.75">
      <c r="A533" s="13">
        <v>57376</v>
      </c>
      <c r="B533" s="47">
        <v>31</v>
      </c>
      <c r="C533" s="38">
        <v>122.58</v>
      </c>
      <c r="D533" s="38">
        <v>297.94099999999997</v>
      </c>
      <c r="E533" s="44">
        <v>729.47900000000004</v>
      </c>
      <c r="F533" s="38">
        <v>1150</v>
      </c>
      <c r="G533" s="38">
        <v>100</v>
      </c>
      <c r="H533" s="46">
        <v>600</v>
      </c>
      <c r="I533" s="38">
        <v>695</v>
      </c>
      <c r="J533" s="38">
        <v>50</v>
      </c>
      <c r="K533" s="39"/>
      <c r="L533" s="39"/>
      <c r="M533" s="39"/>
      <c r="N533" s="39"/>
      <c r="O533" s="39"/>
      <c r="P533" s="39"/>
      <c r="Q533" s="39"/>
      <c r="R533" s="39"/>
      <c r="S533" s="39"/>
      <c r="T533" s="39"/>
    </row>
    <row r="534" spans="1:20" ht="15.75">
      <c r="A534" s="13">
        <v>57404</v>
      </c>
      <c r="B534" s="47">
        <v>28</v>
      </c>
      <c r="C534" s="38">
        <v>122.58</v>
      </c>
      <c r="D534" s="38">
        <v>297.94099999999997</v>
      </c>
      <c r="E534" s="44">
        <v>729.47900000000004</v>
      </c>
      <c r="F534" s="38">
        <v>1150</v>
      </c>
      <c r="G534" s="38">
        <v>100</v>
      </c>
      <c r="H534" s="46">
        <v>600</v>
      </c>
      <c r="I534" s="38">
        <v>695</v>
      </c>
      <c r="J534" s="38">
        <v>50</v>
      </c>
      <c r="K534" s="39"/>
      <c r="L534" s="39"/>
      <c r="M534" s="39"/>
      <c r="N534" s="39"/>
      <c r="O534" s="39"/>
      <c r="P534" s="39"/>
      <c r="Q534" s="39"/>
      <c r="R534" s="39"/>
      <c r="S534" s="39"/>
      <c r="T534" s="39"/>
    </row>
    <row r="535" spans="1:20" ht="15.75">
      <c r="A535" s="13">
        <v>57435</v>
      </c>
      <c r="B535" s="47">
        <v>31</v>
      </c>
      <c r="C535" s="38">
        <v>122.58</v>
      </c>
      <c r="D535" s="38">
        <v>297.94099999999997</v>
      </c>
      <c r="E535" s="44">
        <v>729.47900000000004</v>
      </c>
      <c r="F535" s="38">
        <v>1150</v>
      </c>
      <c r="G535" s="38">
        <v>100</v>
      </c>
      <c r="H535" s="46">
        <v>600</v>
      </c>
      <c r="I535" s="38">
        <v>695</v>
      </c>
      <c r="J535" s="38">
        <v>50</v>
      </c>
      <c r="K535" s="39"/>
      <c r="L535" s="39"/>
      <c r="M535" s="39"/>
      <c r="N535" s="39"/>
      <c r="O535" s="39"/>
      <c r="P535" s="39"/>
      <c r="Q535" s="39"/>
      <c r="R535" s="39"/>
      <c r="S535" s="39"/>
      <c r="T535" s="39"/>
    </row>
    <row r="536" spans="1:20" ht="15.75">
      <c r="A536" s="13">
        <v>57465</v>
      </c>
      <c r="B536" s="47">
        <v>30</v>
      </c>
      <c r="C536" s="38">
        <v>141.29300000000001</v>
      </c>
      <c r="D536" s="38">
        <v>267.99299999999999</v>
      </c>
      <c r="E536" s="44">
        <v>829.71400000000006</v>
      </c>
      <c r="F536" s="38">
        <v>1239</v>
      </c>
      <c r="G536" s="38">
        <v>100</v>
      </c>
      <c r="H536" s="46">
        <v>600</v>
      </c>
      <c r="I536" s="38">
        <v>695</v>
      </c>
      <c r="J536" s="38">
        <v>50</v>
      </c>
      <c r="K536" s="39"/>
      <c r="L536" s="39"/>
      <c r="M536" s="39"/>
      <c r="N536" s="39"/>
      <c r="O536" s="39"/>
      <c r="P536" s="39"/>
      <c r="Q536" s="39"/>
      <c r="R536" s="39"/>
      <c r="S536" s="39"/>
      <c r="T536" s="39"/>
    </row>
    <row r="537" spans="1:20" ht="15.75">
      <c r="A537" s="13">
        <v>57496</v>
      </c>
      <c r="B537" s="47">
        <v>31</v>
      </c>
      <c r="C537" s="38">
        <v>194.20500000000001</v>
      </c>
      <c r="D537" s="38">
        <v>267.46600000000001</v>
      </c>
      <c r="E537" s="44">
        <v>812.32899999999995</v>
      </c>
      <c r="F537" s="38">
        <v>1274</v>
      </c>
      <c r="G537" s="38">
        <v>75</v>
      </c>
      <c r="H537" s="46">
        <v>600</v>
      </c>
      <c r="I537" s="38">
        <v>695</v>
      </c>
      <c r="J537" s="38">
        <v>50</v>
      </c>
      <c r="K537" s="39"/>
      <c r="L537" s="39"/>
      <c r="M537" s="39"/>
      <c r="N537" s="39"/>
      <c r="O537" s="39"/>
      <c r="P537" s="39"/>
      <c r="Q537" s="39"/>
      <c r="R537" s="39"/>
      <c r="S537" s="39"/>
      <c r="T537" s="39"/>
    </row>
    <row r="538" spans="1:20" ht="15.75">
      <c r="A538" s="13">
        <v>57526</v>
      </c>
      <c r="B538" s="47">
        <v>30</v>
      </c>
      <c r="C538" s="38">
        <v>194.20500000000001</v>
      </c>
      <c r="D538" s="38">
        <v>267.46600000000001</v>
      </c>
      <c r="E538" s="44">
        <v>812.32899999999995</v>
      </c>
      <c r="F538" s="38">
        <v>1274</v>
      </c>
      <c r="G538" s="38">
        <v>50</v>
      </c>
      <c r="H538" s="46">
        <v>600</v>
      </c>
      <c r="I538" s="38">
        <v>695</v>
      </c>
      <c r="J538" s="38">
        <v>50</v>
      </c>
      <c r="K538" s="39"/>
      <c r="L538" s="39"/>
      <c r="M538" s="39"/>
      <c r="N538" s="39"/>
      <c r="O538" s="39"/>
      <c r="P538" s="39"/>
      <c r="Q538" s="39"/>
      <c r="R538" s="39"/>
      <c r="S538" s="39"/>
      <c r="T538" s="39"/>
    </row>
    <row r="539" spans="1:20" ht="15.75">
      <c r="A539" s="13">
        <v>57557</v>
      </c>
      <c r="B539" s="47">
        <v>31</v>
      </c>
      <c r="C539" s="38">
        <v>194.20500000000001</v>
      </c>
      <c r="D539" s="38">
        <v>267.46600000000001</v>
      </c>
      <c r="E539" s="44">
        <v>812.32899999999995</v>
      </c>
      <c r="F539" s="38">
        <v>1274</v>
      </c>
      <c r="G539" s="38">
        <v>50</v>
      </c>
      <c r="H539" s="46">
        <v>600</v>
      </c>
      <c r="I539" s="38">
        <v>695</v>
      </c>
      <c r="J539" s="38">
        <v>0</v>
      </c>
      <c r="K539" s="39"/>
      <c r="L539" s="39"/>
      <c r="M539" s="39"/>
      <c r="N539" s="39"/>
      <c r="O539" s="39"/>
      <c r="P539" s="39"/>
      <c r="Q539" s="39"/>
      <c r="R539" s="39"/>
      <c r="S539" s="39"/>
      <c r="T539" s="39"/>
    </row>
    <row r="540" spans="1:20" ht="15.75">
      <c r="A540" s="13">
        <v>57588</v>
      </c>
      <c r="B540" s="47">
        <v>31</v>
      </c>
      <c r="C540" s="38">
        <v>194.20500000000001</v>
      </c>
      <c r="D540" s="38">
        <v>267.46600000000001</v>
      </c>
      <c r="E540" s="44">
        <v>812.32899999999995</v>
      </c>
      <c r="F540" s="38">
        <v>1274</v>
      </c>
      <c r="G540" s="38">
        <v>50</v>
      </c>
      <c r="H540" s="46">
        <v>600</v>
      </c>
      <c r="I540" s="38">
        <v>695</v>
      </c>
      <c r="J540" s="38">
        <v>0</v>
      </c>
      <c r="K540" s="39"/>
      <c r="L540" s="39"/>
      <c r="M540" s="39"/>
      <c r="N540" s="39"/>
      <c r="O540" s="39"/>
      <c r="P540" s="39"/>
      <c r="Q540" s="39"/>
      <c r="R540" s="39"/>
      <c r="S540" s="39"/>
      <c r="T540" s="39"/>
    </row>
    <row r="541" spans="1:20" ht="15.75">
      <c r="A541" s="13">
        <v>57618</v>
      </c>
      <c r="B541" s="47">
        <v>30</v>
      </c>
      <c r="C541" s="38">
        <v>194.20500000000001</v>
      </c>
      <c r="D541" s="38">
        <v>267.46600000000001</v>
      </c>
      <c r="E541" s="44">
        <v>812.32899999999995</v>
      </c>
      <c r="F541" s="38">
        <v>1274</v>
      </c>
      <c r="G541" s="38">
        <v>50</v>
      </c>
      <c r="H541" s="46">
        <v>600</v>
      </c>
      <c r="I541" s="38">
        <v>695</v>
      </c>
      <c r="J541" s="38">
        <v>0</v>
      </c>
      <c r="K541" s="39"/>
      <c r="L541" s="39"/>
      <c r="M541" s="39"/>
      <c r="N541" s="39"/>
      <c r="O541" s="39"/>
      <c r="P541" s="39"/>
      <c r="Q541" s="39"/>
      <c r="R541" s="39"/>
      <c r="S541" s="39"/>
      <c r="T541" s="39"/>
    </row>
    <row r="542" spans="1:20" ht="15.75">
      <c r="A542" s="13">
        <v>57649</v>
      </c>
      <c r="B542" s="47">
        <v>31</v>
      </c>
      <c r="C542" s="38">
        <v>131.881</v>
      </c>
      <c r="D542" s="38">
        <v>277.16699999999997</v>
      </c>
      <c r="E542" s="44">
        <v>829.952</v>
      </c>
      <c r="F542" s="38">
        <v>1239</v>
      </c>
      <c r="G542" s="38">
        <v>75</v>
      </c>
      <c r="H542" s="46">
        <v>600</v>
      </c>
      <c r="I542" s="38">
        <v>695</v>
      </c>
      <c r="J542" s="38">
        <v>0</v>
      </c>
      <c r="K542" s="39"/>
      <c r="L542" s="39"/>
      <c r="M542" s="39"/>
      <c r="N542" s="39"/>
      <c r="O542" s="39"/>
      <c r="P542" s="39"/>
      <c r="Q542" s="39"/>
      <c r="R542" s="39"/>
      <c r="S542" s="39"/>
      <c r="T542" s="39"/>
    </row>
    <row r="543" spans="1:20" ht="15.75">
      <c r="A543" s="13">
        <v>57679</v>
      </c>
      <c r="B543" s="47">
        <v>30</v>
      </c>
      <c r="C543" s="38">
        <v>122.58</v>
      </c>
      <c r="D543" s="38">
        <v>297.94099999999997</v>
      </c>
      <c r="E543" s="44">
        <v>729.47900000000004</v>
      </c>
      <c r="F543" s="38">
        <v>1150</v>
      </c>
      <c r="G543" s="38">
        <v>100</v>
      </c>
      <c r="H543" s="46">
        <v>600</v>
      </c>
      <c r="I543" s="38">
        <v>695</v>
      </c>
      <c r="J543" s="38">
        <v>50</v>
      </c>
      <c r="K543" s="39"/>
      <c r="L543" s="39"/>
      <c r="M543" s="39"/>
      <c r="N543" s="39"/>
      <c r="O543" s="39"/>
      <c r="P543" s="39"/>
      <c r="Q543" s="39"/>
      <c r="R543" s="39"/>
      <c r="S543" s="39"/>
      <c r="T543" s="39"/>
    </row>
    <row r="544" spans="1:20" ht="15.75">
      <c r="A544" s="13">
        <v>57710</v>
      </c>
      <c r="B544" s="47">
        <v>31</v>
      </c>
      <c r="C544" s="38">
        <v>122.58</v>
      </c>
      <c r="D544" s="38">
        <v>297.94099999999997</v>
      </c>
      <c r="E544" s="44">
        <v>729.47900000000004</v>
      </c>
      <c r="F544" s="38">
        <v>1150</v>
      </c>
      <c r="G544" s="38">
        <v>100</v>
      </c>
      <c r="H544" s="46">
        <v>600</v>
      </c>
      <c r="I544" s="38">
        <v>695</v>
      </c>
      <c r="J544" s="38">
        <v>50</v>
      </c>
      <c r="K544" s="39"/>
      <c r="L544" s="39"/>
      <c r="M544" s="39"/>
      <c r="N544" s="39"/>
      <c r="O544" s="39"/>
      <c r="P544" s="39"/>
      <c r="Q544" s="39"/>
      <c r="R544" s="39"/>
      <c r="S544" s="39"/>
      <c r="T544" s="39"/>
    </row>
    <row r="545" spans="1:20" ht="15.75">
      <c r="A545" s="13">
        <v>57741</v>
      </c>
      <c r="B545" s="47">
        <v>31</v>
      </c>
      <c r="C545" s="38">
        <v>122.58</v>
      </c>
      <c r="D545" s="38">
        <v>297.94099999999997</v>
      </c>
      <c r="E545" s="44">
        <v>729.47900000000004</v>
      </c>
      <c r="F545" s="38">
        <v>1150</v>
      </c>
      <c r="G545" s="38">
        <v>100</v>
      </c>
      <c r="H545" s="46">
        <v>600</v>
      </c>
      <c r="I545" s="38">
        <v>695</v>
      </c>
      <c r="J545" s="38">
        <v>50</v>
      </c>
      <c r="K545" s="39"/>
      <c r="L545" s="39"/>
      <c r="M545" s="39"/>
      <c r="N545" s="39"/>
      <c r="O545" s="39"/>
      <c r="P545" s="39"/>
      <c r="Q545" s="39"/>
      <c r="R545" s="39"/>
      <c r="S545" s="39"/>
      <c r="T545" s="39"/>
    </row>
    <row r="546" spans="1:20" ht="15.75">
      <c r="A546" s="13">
        <v>57769</v>
      </c>
      <c r="B546" s="47">
        <v>28</v>
      </c>
      <c r="C546" s="38">
        <v>122.58</v>
      </c>
      <c r="D546" s="38">
        <v>297.94099999999997</v>
      </c>
      <c r="E546" s="44">
        <v>729.47900000000004</v>
      </c>
      <c r="F546" s="38">
        <v>1150</v>
      </c>
      <c r="G546" s="38">
        <v>100</v>
      </c>
      <c r="H546" s="46">
        <v>600</v>
      </c>
      <c r="I546" s="38">
        <v>695</v>
      </c>
      <c r="J546" s="38">
        <v>50</v>
      </c>
      <c r="K546" s="39"/>
      <c r="L546" s="39"/>
      <c r="M546" s="39"/>
      <c r="N546" s="39"/>
      <c r="O546" s="39"/>
      <c r="P546" s="39"/>
      <c r="Q546" s="39"/>
      <c r="R546" s="39"/>
      <c r="S546" s="39"/>
      <c r="T546" s="39"/>
    </row>
    <row r="547" spans="1:20" ht="15.75">
      <c r="A547" s="13">
        <v>57800</v>
      </c>
      <c r="B547" s="47">
        <v>31</v>
      </c>
      <c r="C547" s="38">
        <v>122.58</v>
      </c>
      <c r="D547" s="38">
        <v>297.94099999999997</v>
      </c>
      <c r="E547" s="44">
        <v>729.47900000000004</v>
      </c>
      <c r="F547" s="38">
        <v>1150</v>
      </c>
      <c r="G547" s="38">
        <v>100</v>
      </c>
      <c r="H547" s="46">
        <v>600</v>
      </c>
      <c r="I547" s="38">
        <v>695</v>
      </c>
      <c r="J547" s="38">
        <v>50</v>
      </c>
      <c r="K547" s="39"/>
      <c r="L547" s="39"/>
      <c r="M547" s="39"/>
      <c r="N547" s="39"/>
      <c r="O547" s="39"/>
      <c r="P547" s="39"/>
      <c r="Q547" s="39"/>
      <c r="R547" s="39"/>
      <c r="S547" s="39"/>
      <c r="T547" s="39"/>
    </row>
    <row r="548" spans="1:20" ht="15.75">
      <c r="A548" s="13">
        <v>57830</v>
      </c>
      <c r="B548" s="47">
        <v>30</v>
      </c>
      <c r="C548" s="38">
        <v>141.29300000000001</v>
      </c>
      <c r="D548" s="38">
        <v>267.99299999999999</v>
      </c>
      <c r="E548" s="44">
        <v>829.71400000000006</v>
      </c>
      <c r="F548" s="38">
        <v>1239</v>
      </c>
      <c r="G548" s="38">
        <v>100</v>
      </c>
      <c r="H548" s="46">
        <v>600</v>
      </c>
      <c r="I548" s="38">
        <v>695</v>
      </c>
      <c r="J548" s="38">
        <v>50</v>
      </c>
      <c r="K548" s="39"/>
      <c r="L548" s="39"/>
      <c r="M548" s="39"/>
      <c r="N548" s="39"/>
      <c r="O548" s="39"/>
      <c r="P548" s="39"/>
      <c r="Q548" s="39"/>
      <c r="R548" s="39"/>
      <c r="S548" s="39"/>
      <c r="T548" s="39"/>
    </row>
    <row r="549" spans="1:20" ht="15.75">
      <c r="A549" s="13">
        <v>57861</v>
      </c>
      <c r="B549" s="47">
        <v>31</v>
      </c>
      <c r="C549" s="38">
        <v>194.20500000000001</v>
      </c>
      <c r="D549" s="38">
        <v>267.46600000000001</v>
      </c>
      <c r="E549" s="44">
        <v>812.32899999999995</v>
      </c>
      <c r="F549" s="38">
        <v>1274</v>
      </c>
      <c r="G549" s="38">
        <v>75</v>
      </c>
      <c r="H549" s="46">
        <v>600</v>
      </c>
      <c r="I549" s="38">
        <v>695</v>
      </c>
      <c r="J549" s="38">
        <v>50</v>
      </c>
      <c r="K549" s="39"/>
      <c r="L549" s="39"/>
      <c r="M549" s="39"/>
      <c r="N549" s="39"/>
      <c r="O549" s="39"/>
      <c r="P549" s="39"/>
      <c r="Q549" s="39"/>
      <c r="R549" s="39"/>
      <c r="S549" s="39"/>
      <c r="T549" s="39"/>
    </row>
    <row r="550" spans="1:20" ht="15.75">
      <c r="A550" s="13">
        <v>57891</v>
      </c>
      <c r="B550" s="47">
        <v>30</v>
      </c>
      <c r="C550" s="38">
        <v>194.20500000000001</v>
      </c>
      <c r="D550" s="38">
        <v>267.46600000000001</v>
      </c>
      <c r="E550" s="44">
        <v>812.32899999999995</v>
      </c>
      <c r="F550" s="38">
        <v>1274</v>
      </c>
      <c r="G550" s="38">
        <v>50</v>
      </c>
      <c r="H550" s="46">
        <v>600</v>
      </c>
      <c r="I550" s="38">
        <v>695</v>
      </c>
      <c r="J550" s="38">
        <v>50</v>
      </c>
      <c r="K550" s="39"/>
      <c r="L550" s="39"/>
      <c r="M550" s="39"/>
      <c r="N550" s="39"/>
      <c r="O550" s="39"/>
      <c r="P550" s="39"/>
      <c r="Q550" s="39"/>
      <c r="R550" s="39"/>
      <c r="S550" s="39"/>
      <c r="T550" s="39"/>
    </row>
    <row r="551" spans="1:20" ht="15.75">
      <c r="A551" s="13">
        <v>57922</v>
      </c>
      <c r="B551" s="47">
        <v>31</v>
      </c>
      <c r="C551" s="38">
        <v>194.20500000000001</v>
      </c>
      <c r="D551" s="38">
        <v>267.46600000000001</v>
      </c>
      <c r="E551" s="44">
        <v>812.32899999999995</v>
      </c>
      <c r="F551" s="38">
        <v>1274</v>
      </c>
      <c r="G551" s="38">
        <v>50</v>
      </c>
      <c r="H551" s="46">
        <v>600</v>
      </c>
      <c r="I551" s="38">
        <v>695</v>
      </c>
      <c r="J551" s="38">
        <v>0</v>
      </c>
      <c r="K551" s="39"/>
      <c r="L551" s="39"/>
      <c r="M551" s="39"/>
      <c r="N551" s="39"/>
      <c r="O551" s="39"/>
      <c r="P551" s="39"/>
      <c r="Q551" s="39"/>
      <c r="R551" s="39"/>
      <c r="S551" s="39"/>
      <c r="T551" s="39"/>
    </row>
    <row r="552" spans="1:20" ht="15.75">
      <c r="A552" s="13">
        <v>57953</v>
      </c>
      <c r="B552" s="47">
        <v>31</v>
      </c>
      <c r="C552" s="38">
        <v>194.20500000000001</v>
      </c>
      <c r="D552" s="38">
        <v>267.46600000000001</v>
      </c>
      <c r="E552" s="44">
        <v>812.32899999999995</v>
      </c>
      <c r="F552" s="38">
        <v>1274</v>
      </c>
      <c r="G552" s="38">
        <v>50</v>
      </c>
      <c r="H552" s="46">
        <v>600</v>
      </c>
      <c r="I552" s="38">
        <v>695</v>
      </c>
      <c r="J552" s="38">
        <v>0</v>
      </c>
      <c r="K552" s="39"/>
      <c r="L552" s="39"/>
      <c r="M552" s="39"/>
      <c r="N552" s="39"/>
      <c r="O552" s="39"/>
      <c r="P552" s="39"/>
      <c r="Q552" s="39"/>
      <c r="R552" s="39"/>
      <c r="S552" s="39"/>
      <c r="T552" s="39"/>
    </row>
    <row r="553" spans="1:20" ht="15.75">
      <c r="A553" s="13">
        <v>57983</v>
      </c>
      <c r="B553" s="47">
        <v>30</v>
      </c>
      <c r="C553" s="38">
        <v>194.20500000000001</v>
      </c>
      <c r="D553" s="38">
        <v>267.46600000000001</v>
      </c>
      <c r="E553" s="44">
        <v>812.32899999999995</v>
      </c>
      <c r="F553" s="38">
        <v>1274</v>
      </c>
      <c r="G553" s="38">
        <v>50</v>
      </c>
      <c r="H553" s="46">
        <v>600</v>
      </c>
      <c r="I553" s="38">
        <v>695</v>
      </c>
      <c r="J553" s="38">
        <v>0</v>
      </c>
      <c r="K553" s="39"/>
      <c r="L553" s="39"/>
      <c r="M553" s="39"/>
      <c r="N553" s="39"/>
      <c r="O553" s="39"/>
      <c r="P553" s="39"/>
      <c r="Q553" s="39"/>
      <c r="R553" s="39"/>
      <c r="S553" s="39"/>
      <c r="T553" s="39"/>
    </row>
    <row r="554" spans="1:20" ht="15.75">
      <c r="A554" s="13">
        <v>58014</v>
      </c>
      <c r="B554" s="47">
        <v>31</v>
      </c>
      <c r="C554" s="38">
        <v>131.881</v>
      </c>
      <c r="D554" s="38">
        <v>277.16699999999997</v>
      </c>
      <c r="E554" s="44">
        <v>829.952</v>
      </c>
      <c r="F554" s="38">
        <v>1239</v>
      </c>
      <c r="G554" s="38">
        <v>75</v>
      </c>
      <c r="H554" s="46">
        <v>600</v>
      </c>
      <c r="I554" s="38">
        <v>695</v>
      </c>
      <c r="J554" s="38">
        <v>0</v>
      </c>
      <c r="K554" s="39"/>
      <c r="L554" s="39"/>
      <c r="M554" s="39"/>
      <c r="N554" s="39"/>
      <c r="O554" s="39"/>
      <c r="P554" s="39"/>
      <c r="Q554" s="39"/>
      <c r="R554" s="39"/>
      <c r="S554" s="39"/>
      <c r="T554" s="39"/>
    </row>
    <row r="555" spans="1:20" ht="15.75">
      <c r="A555" s="13">
        <v>58044</v>
      </c>
      <c r="B555" s="47">
        <v>30</v>
      </c>
      <c r="C555" s="38">
        <v>122.58</v>
      </c>
      <c r="D555" s="38">
        <v>297.94099999999997</v>
      </c>
      <c r="E555" s="44">
        <v>729.47900000000004</v>
      </c>
      <c r="F555" s="38">
        <v>1150</v>
      </c>
      <c r="G555" s="38">
        <v>100</v>
      </c>
      <c r="H555" s="46">
        <v>600</v>
      </c>
      <c r="I555" s="38">
        <v>695</v>
      </c>
      <c r="J555" s="38">
        <v>50</v>
      </c>
      <c r="K555" s="39"/>
      <c r="L555" s="39"/>
      <c r="M555" s="39"/>
      <c r="N555" s="39"/>
      <c r="O555" s="39"/>
      <c r="P555" s="39"/>
      <c r="Q555" s="39"/>
      <c r="R555" s="39"/>
      <c r="S555" s="39"/>
      <c r="T555" s="39"/>
    </row>
    <row r="556" spans="1:20" ht="15.75">
      <c r="A556" s="13">
        <v>58075</v>
      </c>
      <c r="B556" s="47">
        <v>31</v>
      </c>
      <c r="C556" s="38">
        <v>122.58</v>
      </c>
      <c r="D556" s="38">
        <v>297.94099999999997</v>
      </c>
      <c r="E556" s="44">
        <v>729.47900000000004</v>
      </c>
      <c r="F556" s="38">
        <v>1150</v>
      </c>
      <c r="G556" s="38">
        <v>100</v>
      </c>
      <c r="H556" s="46">
        <v>600</v>
      </c>
      <c r="I556" s="38">
        <v>695</v>
      </c>
      <c r="J556" s="38">
        <v>50</v>
      </c>
      <c r="K556" s="39"/>
      <c r="L556" s="39"/>
      <c r="M556" s="39"/>
      <c r="N556" s="39"/>
      <c r="O556" s="39"/>
      <c r="P556" s="39"/>
      <c r="Q556" s="39"/>
      <c r="R556" s="39"/>
      <c r="S556" s="39"/>
      <c r="T556" s="39"/>
    </row>
    <row r="557" spans="1:20" ht="15.75">
      <c r="A557" s="13">
        <v>58106</v>
      </c>
      <c r="B557" s="47">
        <v>31</v>
      </c>
      <c r="C557" s="38">
        <v>122.58</v>
      </c>
      <c r="D557" s="38">
        <v>297.94099999999997</v>
      </c>
      <c r="E557" s="44">
        <v>729.47900000000004</v>
      </c>
      <c r="F557" s="38">
        <v>1150</v>
      </c>
      <c r="G557" s="38">
        <v>100</v>
      </c>
      <c r="H557" s="46">
        <v>600</v>
      </c>
      <c r="I557" s="38">
        <v>695</v>
      </c>
      <c r="J557" s="38">
        <v>50</v>
      </c>
      <c r="K557" s="39"/>
      <c r="L557" s="39"/>
      <c r="M557" s="39"/>
      <c r="N557" s="39"/>
      <c r="O557" s="39"/>
      <c r="P557" s="39"/>
      <c r="Q557" s="39"/>
      <c r="R557" s="39"/>
      <c r="S557" s="39"/>
      <c r="T557" s="39"/>
    </row>
    <row r="558" spans="1:20" ht="15.75">
      <c r="A558" s="13">
        <v>58134</v>
      </c>
      <c r="B558" s="47">
        <v>28</v>
      </c>
      <c r="C558" s="38">
        <v>122.58</v>
      </c>
      <c r="D558" s="38">
        <v>297.94099999999997</v>
      </c>
      <c r="E558" s="44">
        <v>729.47900000000004</v>
      </c>
      <c r="F558" s="38">
        <v>1150</v>
      </c>
      <c r="G558" s="38">
        <v>100</v>
      </c>
      <c r="H558" s="46">
        <v>600</v>
      </c>
      <c r="I558" s="38">
        <v>695</v>
      </c>
      <c r="J558" s="38">
        <v>50</v>
      </c>
      <c r="K558" s="39"/>
      <c r="L558" s="39"/>
      <c r="M558" s="39"/>
      <c r="N558" s="39"/>
      <c r="O558" s="39"/>
      <c r="P558" s="39"/>
      <c r="Q558" s="39"/>
      <c r="R558" s="39"/>
      <c r="S558" s="39"/>
      <c r="T558" s="39"/>
    </row>
    <row r="559" spans="1:20" ht="15.75">
      <c r="A559" s="13">
        <v>58165</v>
      </c>
      <c r="B559" s="47">
        <v>31</v>
      </c>
      <c r="C559" s="38">
        <v>122.58</v>
      </c>
      <c r="D559" s="38">
        <v>297.94099999999997</v>
      </c>
      <c r="E559" s="44">
        <v>729.47900000000004</v>
      </c>
      <c r="F559" s="38">
        <v>1150</v>
      </c>
      <c r="G559" s="38">
        <v>100</v>
      </c>
      <c r="H559" s="46">
        <v>600</v>
      </c>
      <c r="I559" s="38">
        <v>695</v>
      </c>
      <c r="J559" s="38">
        <v>50</v>
      </c>
      <c r="K559" s="39"/>
      <c r="L559" s="39"/>
      <c r="M559" s="39"/>
      <c r="N559" s="39"/>
      <c r="O559" s="39"/>
      <c r="P559" s="39"/>
      <c r="Q559" s="39"/>
      <c r="R559" s="39"/>
      <c r="S559" s="39"/>
      <c r="T559" s="39"/>
    </row>
    <row r="560" spans="1:20" ht="15.75">
      <c r="A560" s="13">
        <v>58195</v>
      </c>
      <c r="B560" s="47">
        <v>30</v>
      </c>
      <c r="C560" s="38">
        <v>141.29300000000001</v>
      </c>
      <c r="D560" s="38">
        <v>267.99299999999999</v>
      </c>
      <c r="E560" s="44">
        <v>829.71400000000006</v>
      </c>
      <c r="F560" s="38">
        <v>1239</v>
      </c>
      <c r="G560" s="38">
        <v>100</v>
      </c>
      <c r="H560" s="46">
        <v>600</v>
      </c>
      <c r="I560" s="38">
        <v>695</v>
      </c>
      <c r="J560" s="38">
        <v>50</v>
      </c>
      <c r="K560" s="39"/>
      <c r="L560" s="39"/>
      <c r="M560" s="39"/>
      <c r="N560" s="39"/>
      <c r="O560" s="39"/>
      <c r="P560" s="39"/>
      <c r="Q560" s="39"/>
      <c r="R560" s="39"/>
      <c r="S560" s="39"/>
      <c r="T560" s="39"/>
    </row>
    <row r="561" spans="1:20" ht="15.75">
      <c r="A561" s="13">
        <v>58226</v>
      </c>
      <c r="B561" s="47">
        <v>31</v>
      </c>
      <c r="C561" s="38">
        <v>194.20500000000001</v>
      </c>
      <c r="D561" s="38">
        <v>267.46600000000001</v>
      </c>
      <c r="E561" s="44">
        <v>812.32899999999995</v>
      </c>
      <c r="F561" s="38">
        <v>1274</v>
      </c>
      <c r="G561" s="38">
        <v>75</v>
      </c>
      <c r="H561" s="46">
        <v>600</v>
      </c>
      <c r="I561" s="38">
        <v>695</v>
      </c>
      <c r="J561" s="38">
        <v>50</v>
      </c>
      <c r="K561" s="39"/>
      <c r="L561" s="39"/>
      <c r="M561" s="39"/>
      <c r="N561" s="39"/>
      <c r="O561" s="39"/>
      <c r="P561" s="39"/>
      <c r="Q561" s="39"/>
      <c r="R561" s="39"/>
      <c r="S561" s="39"/>
      <c r="T561" s="39"/>
    </row>
    <row r="562" spans="1:20" ht="15.75">
      <c r="A562" s="13">
        <v>58256</v>
      </c>
      <c r="B562" s="47">
        <v>30</v>
      </c>
      <c r="C562" s="38">
        <v>194.20500000000001</v>
      </c>
      <c r="D562" s="38">
        <v>267.46600000000001</v>
      </c>
      <c r="E562" s="44">
        <v>812.32899999999995</v>
      </c>
      <c r="F562" s="38">
        <v>1274</v>
      </c>
      <c r="G562" s="38">
        <v>50</v>
      </c>
      <c r="H562" s="46">
        <v>600</v>
      </c>
      <c r="I562" s="38">
        <v>695</v>
      </c>
      <c r="J562" s="38">
        <v>50</v>
      </c>
      <c r="K562" s="39"/>
      <c r="L562" s="39"/>
      <c r="M562" s="39"/>
      <c r="N562" s="39"/>
      <c r="O562" s="39"/>
      <c r="P562" s="39"/>
      <c r="Q562" s="39"/>
      <c r="R562" s="39"/>
      <c r="S562" s="39"/>
      <c r="T562" s="39"/>
    </row>
    <row r="563" spans="1:20" ht="15.75">
      <c r="A563" s="13">
        <v>58287</v>
      </c>
      <c r="B563" s="47">
        <v>31</v>
      </c>
      <c r="C563" s="38">
        <v>194.20500000000001</v>
      </c>
      <c r="D563" s="38">
        <v>267.46600000000001</v>
      </c>
      <c r="E563" s="44">
        <v>812.32899999999995</v>
      </c>
      <c r="F563" s="38">
        <v>1274</v>
      </c>
      <c r="G563" s="38">
        <v>50</v>
      </c>
      <c r="H563" s="46">
        <v>600</v>
      </c>
      <c r="I563" s="38">
        <v>695</v>
      </c>
      <c r="J563" s="38">
        <v>0</v>
      </c>
      <c r="K563" s="39"/>
      <c r="L563" s="39"/>
      <c r="M563" s="39"/>
      <c r="N563" s="39"/>
      <c r="O563" s="39"/>
      <c r="P563" s="39"/>
      <c r="Q563" s="39"/>
      <c r="R563" s="39"/>
      <c r="S563" s="39"/>
      <c r="T563" s="39"/>
    </row>
    <row r="564" spans="1:20" ht="15.75">
      <c r="A564" s="13">
        <v>58318</v>
      </c>
      <c r="B564" s="47">
        <v>31</v>
      </c>
      <c r="C564" s="38">
        <v>194.20500000000001</v>
      </c>
      <c r="D564" s="38">
        <v>267.46600000000001</v>
      </c>
      <c r="E564" s="44">
        <v>812.32899999999995</v>
      </c>
      <c r="F564" s="38">
        <v>1274</v>
      </c>
      <c r="G564" s="38">
        <v>50</v>
      </c>
      <c r="H564" s="46">
        <v>600</v>
      </c>
      <c r="I564" s="38">
        <v>695</v>
      </c>
      <c r="J564" s="38">
        <v>0</v>
      </c>
      <c r="K564" s="39"/>
      <c r="L564" s="39"/>
      <c r="M564" s="39"/>
      <c r="N564" s="39"/>
      <c r="O564" s="39"/>
      <c r="P564" s="39"/>
      <c r="Q564" s="39"/>
      <c r="R564" s="39"/>
      <c r="S564" s="39"/>
      <c r="T564" s="39"/>
    </row>
    <row r="565" spans="1:20" ht="15.75">
      <c r="A565" s="13">
        <v>58348</v>
      </c>
      <c r="B565" s="47">
        <v>30</v>
      </c>
      <c r="C565" s="38">
        <v>194.20500000000001</v>
      </c>
      <c r="D565" s="38">
        <v>267.46600000000001</v>
      </c>
      <c r="E565" s="44">
        <v>812.32899999999995</v>
      </c>
      <c r="F565" s="38">
        <v>1274</v>
      </c>
      <c r="G565" s="38">
        <v>50</v>
      </c>
      <c r="H565" s="46">
        <v>600</v>
      </c>
      <c r="I565" s="38">
        <v>695</v>
      </c>
      <c r="J565" s="38">
        <v>0</v>
      </c>
      <c r="K565" s="39"/>
      <c r="L565" s="39"/>
      <c r="M565" s="39"/>
      <c r="N565" s="39"/>
      <c r="O565" s="39"/>
      <c r="P565" s="39"/>
      <c r="Q565" s="39"/>
      <c r="R565" s="39"/>
      <c r="S565" s="39"/>
      <c r="T565" s="39"/>
    </row>
    <row r="566" spans="1:20" ht="15.75">
      <c r="A566" s="13">
        <v>58379</v>
      </c>
      <c r="B566" s="47">
        <v>31</v>
      </c>
      <c r="C566" s="38">
        <v>131.881</v>
      </c>
      <c r="D566" s="38">
        <v>277.16699999999997</v>
      </c>
      <c r="E566" s="44">
        <v>829.952</v>
      </c>
      <c r="F566" s="38">
        <v>1239</v>
      </c>
      <c r="G566" s="38">
        <v>75</v>
      </c>
      <c r="H566" s="46">
        <v>600</v>
      </c>
      <c r="I566" s="38">
        <v>695</v>
      </c>
      <c r="J566" s="38">
        <v>0</v>
      </c>
      <c r="K566" s="39"/>
      <c r="L566" s="39"/>
      <c r="M566" s="39"/>
      <c r="N566" s="39"/>
      <c r="O566" s="39"/>
      <c r="P566" s="39"/>
      <c r="Q566" s="39"/>
      <c r="R566" s="39"/>
      <c r="S566" s="39"/>
      <c r="T566" s="39"/>
    </row>
    <row r="567" spans="1:20" ht="15.75">
      <c r="A567" s="13">
        <v>58409</v>
      </c>
      <c r="B567" s="47">
        <v>30</v>
      </c>
      <c r="C567" s="38">
        <v>122.58</v>
      </c>
      <c r="D567" s="38">
        <v>297.94099999999997</v>
      </c>
      <c r="E567" s="44">
        <v>729.47900000000004</v>
      </c>
      <c r="F567" s="38">
        <v>1150</v>
      </c>
      <c r="G567" s="38">
        <v>100</v>
      </c>
      <c r="H567" s="46">
        <v>600</v>
      </c>
      <c r="I567" s="38">
        <v>695</v>
      </c>
      <c r="J567" s="38">
        <v>50</v>
      </c>
      <c r="K567" s="39"/>
      <c r="L567" s="39"/>
      <c r="M567" s="39"/>
      <c r="N567" s="39"/>
      <c r="O567" s="39"/>
      <c r="P567" s="39"/>
      <c r="Q567" s="39"/>
      <c r="R567" s="39"/>
      <c r="S567" s="39"/>
      <c r="T567" s="39"/>
    </row>
    <row r="568" spans="1:20" ht="15.75">
      <c r="A568" s="13">
        <v>58440</v>
      </c>
      <c r="B568" s="47">
        <v>31</v>
      </c>
      <c r="C568" s="38">
        <v>122.58</v>
      </c>
      <c r="D568" s="38">
        <v>297.94099999999997</v>
      </c>
      <c r="E568" s="44">
        <v>729.47900000000004</v>
      </c>
      <c r="F568" s="38">
        <v>1150</v>
      </c>
      <c r="G568" s="38">
        <v>100</v>
      </c>
      <c r="H568" s="46">
        <v>600</v>
      </c>
      <c r="I568" s="38">
        <v>695</v>
      </c>
      <c r="J568" s="38">
        <v>50</v>
      </c>
      <c r="K568" s="39"/>
      <c r="L568" s="39"/>
      <c r="M568" s="39"/>
      <c r="N568" s="39"/>
      <c r="O568" s="39"/>
      <c r="P568" s="39"/>
      <c r="Q568" s="39"/>
      <c r="R568" s="39"/>
      <c r="S568" s="39"/>
      <c r="T568" s="39"/>
    </row>
    <row r="569" spans="1:20" ht="15.75">
      <c r="A569" s="13">
        <v>58471</v>
      </c>
      <c r="B569" s="47">
        <v>31</v>
      </c>
      <c r="C569" s="38">
        <v>122.58</v>
      </c>
      <c r="D569" s="38">
        <v>297.94099999999997</v>
      </c>
      <c r="E569" s="44">
        <v>729.47900000000004</v>
      </c>
      <c r="F569" s="38">
        <v>1150</v>
      </c>
      <c r="G569" s="38">
        <v>100</v>
      </c>
      <c r="H569" s="46">
        <v>600</v>
      </c>
      <c r="I569" s="38">
        <v>695</v>
      </c>
      <c r="J569" s="38">
        <v>50</v>
      </c>
      <c r="K569" s="39"/>
      <c r="L569" s="39"/>
      <c r="M569" s="39"/>
      <c r="N569" s="39"/>
      <c r="O569" s="39"/>
      <c r="P569" s="39"/>
      <c r="Q569" s="39"/>
      <c r="R569" s="39"/>
      <c r="S569" s="39"/>
      <c r="T569" s="39"/>
    </row>
    <row r="570" spans="1:20" ht="15.75">
      <c r="A570" s="13">
        <v>58499</v>
      </c>
      <c r="B570" s="47">
        <v>29</v>
      </c>
      <c r="C570" s="38">
        <v>122.58</v>
      </c>
      <c r="D570" s="38">
        <v>297.94099999999997</v>
      </c>
      <c r="E570" s="44">
        <v>729.47900000000004</v>
      </c>
      <c r="F570" s="38">
        <v>1150</v>
      </c>
      <c r="G570" s="38">
        <v>100</v>
      </c>
      <c r="H570" s="46">
        <v>600</v>
      </c>
      <c r="I570" s="38">
        <v>695</v>
      </c>
      <c r="J570" s="38">
        <v>50</v>
      </c>
      <c r="K570" s="39"/>
      <c r="L570" s="39"/>
      <c r="M570" s="39"/>
      <c r="N570" s="39"/>
      <c r="O570" s="39"/>
      <c r="P570" s="39"/>
      <c r="Q570" s="39"/>
      <c r="R570" s="39"/>
      <c r="S570" s="39"/>
      <c r="T570" s="39"/>
    </row>
    <row r="571" spans="1:20" ht="15.75">
      <c r="A571" s="13">
        <v>58531</v>
      </c>
      <c r="B571" s="47">
        <v>31</v>
      </c>
      <c r="C571" s="38">
        <v>122.58</v>
      </c>
      <c r="D571" s="38">
        <v>297.94099999999997</v>
      </c>
      <c r="E571" s="44">
        <v>729.47900000000004</v>
      </c>
      <c r="F571" s="38">
        <v>1150</v>
      </c>
      <c r="G571" s="38">
        <v>100</v>
      </c>
      <c r="H571" s="46">
        <v>600</v>
      </c>
      <c r="I571" s="38">
        <v>695</v>
      </c>
      <c r="J571" s="38">
        <v>50</v>
      </c>
      <c r="K571" s="39"/>
      <c r="L571" s="39"/>
      <c r="M571" s="39"/>
      <c r="N571" s="39"/>
      <c r="O571" s="39"/>
      <c r="P571" s="39"/>
      <c r="Q571" s="39"/>
      <c r="R571" s="39"/>
      <c r="S571" s="39"/>
      <c r="T571" s="39"/>
    </row>
    <row r="572" spans="1:20" ht="15.75">
      <c r="A572" s="13">
        <v>58561</v>
      </c>
      <c r="B572" s="47">
        <v>30</v>
      </c>
      <c r="C572" s="38">
        <v>141.29300000000001</v>
      </c>
      <c r="D572" s="38">
        <v>267.99299999999999</v>
      </c>
      <c r="E572" s="44">
        <v>829.71400000000006</v>
      </c>
      <c r="F572" s="38">
        <v>1239</v>
      </c>
      <c r="G572" s="38">
        <v>100</v>
      </c>
      <c r="H572" s="46">
        <v>600</v>
      </c>
      <c r="I572" s="38">
        <v>695</v>
      </c>
      <c r="J572" s="38">
        <v>50</v>
      </c>
      <c r="K572" s="39"/>
      <c r="L572" s="39"/>
      <c r="M572" s="39"/>
      <c r="N572" s="39"/>
      <c r="O572" s="39"/>
      <c r="P572" s="39"/>
      <c r="Q572" s="39"/>
      <c r="R572" s="39"/>
      <c r="S572" s="39"/>
      <c r="T572" s="39"/>
    </row>
    <row r="573" spans="1:20" ht="15.75">
      <c r="A573" s="13">
        <v>58592</v>
      </c>
      <c r="B573" s="47">
        <v>31</v>
      </c>
      <c r="C573" s="38">
        <v>194.20500000000001</v>
      </c>
      <c r="D573" s="38">
        <v>267.46600000000001</v>
      </c>
      <c r="E573" s="44">
        <v>812.32899999999995</v>
      </c>
      <c r="F573" s="38">
        <v>1274</v>
      </c>
      <c r="G573" s="38">
        <v>75</v>
      </c>
      <c r="H573" s="46">
        <v>600</v>
      </c>
      <c r="I573" s="38">
        <v>695</v>
      </c>
      <c r="J573" s="38">
        <v>50</v>
      </c>
      <c r="K573" s="39"/>
      <c r="L573" s="39"/>
      <c r="M573" s="39"/>
      <c r="N573" s="39"/>
      <c r="O573" s="39"/>
      <c r="P573" s="39"/>
      <c r="Q573" s="39"/>
      <c r="R573" s="39"/>
      <c r="S573" s="39"/>
      <c r="T573" s="39"/>
    </row>
    <row r="574" spans="1:20" ht="15.75">
      <c r="A574" s="13">
        <v>58622</v>
      </c>
      <c r="B574" s="47">
        <v>30</v>
      </c>
      <c r="C574" s="38">
        <v>194.20500000000001</v>
      </c>
      <c r="D574" s="38">
        <v>267.46600000000001</v>
      </c>
      <c r="E574" s="44">
        <v>812.32899999999995</v>
      </c>
      <c r="F574" s="38">
        <v>1274</v>
      </c>
      <c r="G574" s="38">
        <v>50</v>
      </c>
      <c r="H574" s="46">
        <v>600</v>
      </c>
      <c r="I574" s="38">
        <v>695</v>
      </c>
      <c r="J574" s="38">
        <v>50</v>
      </c>
      <c r="K574" s="39"/>
      <c r="L574" s="39"/>
      <c r="M574" s="39"/>
      <c r="N574" s="39"/>
      <c r="O574" s="39"/>
      <c r="P574" s="39"/>
      <c r="Q574" s="39"/>
      <c r="R574" s="39"/>
      <c r="S574" s="39"/>
      <c r="T574" s="39"/>
    </row>
    <row r="575" spans="1:20" ht="15.75">
      <c r="A575" s="13">
        <v>58653</v>
      </c>
      <c r="B575" s="47">
        <v>31</v>
      </c>
      <c r="C575" s="38">
        <v>194.20500000000001</v>
      </c>
      <c r="D575" s="38">
        <v>267.46600000000001</v>
      </c>
      <c r="E575" s="44">
        <v>812.32899999999995</v>
      </c>
      <c r="F575" s="38">
        <v>1274</v>
      </c>
      <c r="G575" s="38">
        <v>50</v>
      </c>
      <c r="H575" s="46">
        <v>600</v>
      </c>
      <c r="I575" s="38">
        <v>695</v>
      </c>
      <c r="J575" s="38">
        <v>0</v>
      </c>
      <c r="K575" s="39"/>
      <c r="L575" s="39"/>
      <c r="M575" s="39"/>
      <c r="N575" s="39"/>
      <c r="O575" s="39"/>
      <c r="P575" s="39"/>
      <c r="Q575" s="39"/>
      <c r="R575" s="39"/>
      <c r="S575" s="39"/>
      <c r="T575" s="39"/>
    </row>
    <row r="576" spans="1:20" ht="15.75">
      <c r="A576" s="13">
        <v>58684</v>
      </c>
      <c r="B576" s="47">
        <v>31</v>
      </c>
      <c r="C576" s="38">
        <v>194.20500000000001</v>
      </c>
      <c r="D576" s="38">
        <v>267.46600000000001</v>
      </c>
      <c r="E576" s="44">
        <v>812.32899999999995</v>
      </c>
      <c r="F576" s="38">
        <v>1274</v>
      </c>
      <c r="G576" s="38">
        <v>50</v>
      </c>
      <c r="H576" s="46">
        <v>600</v>
      </c>
      <c r="I576" s="38">
        <v>695</v>
      </c>
      <c r="J576" s="38">
        <v>0</v>
      </c>
      <c r="K576" s="39"/>
      <c r="L576" s="39"/>
      <c r="M576" s="39"/>
      <c r="N576" s="39"/>
      <c r="O576" s="39"/>
      <c r="P576" s="39"/>
      <c r="Q576" s="39"/>
      <c r="R576" s="39"/>
      <c r="S576" s="39"/>
      <c r="T576" s="39"/>
    </row>
    <row r="577" spans="1:20" ht="15.75">
      <c r="A577" s="13">
        <v>58714</v>
      </c>
      <c r="B577" s="47">
        <v>30</v>
      </c>
      <c r="C577" s="38">
        <v>194.20500000000001</v>
      </c>
      <c r="D577" s="38">
        <v>267.46600000000001</v>
      </c>
      <c r="E577" s="44">
        <v>812.32899999999995</v>
      </c>
      <c r="F577" s="38">
        <v>1274</v>
      </c>
      <c r="G577" s="38">
        <v>50</v>
      </c>
      <c r="H577" s="46">
        <v>600</v>
      </c>
      <c r="I577" s="38">
        <v>695</v>
      </c>
      <c r="J577" s="38">
        <v>0</v>
      </c>
      <c r="K577" s="39"/>
      <c r="L577" s="39"/>
      <c r="M577" s="39"/>
      <c r="N577" s="39"/>
      <c r="O577" s="39"/>
      <c r="P577" s="39"/>
      <c r="Q577" s="39"/>
      <c r="R577" s="39"/>
      <c r="S577" s="39"/>
      <c r="T577" s="39"/>
    </row>
    <row r="578" spans="1:20" ht="15.75">
      <c r="A578" s="13">
        <v>58745</v>
      </c>
      <c r="B578" s="47">
        <v>31</v>
      </c>
      <c r="C578" s="38">
        <v>131.881</v>
      </c>
      <c r="D578" s="38">
        <v>277.16699999999997</v>
      </c>
      <c r="E578" s="44">
        <v>829.952</v>
      </c>
      <c r="F578" s="38">
        <v>1239</v>
      </c>
      <c r="G578" s="38">
        <v>75</v>
      </c>
      <c r="H578" s="46">
        <v>600</v>
      </c>
      <c r="I578" s="38">
        <v>695</v>
      </c>
      <c r="J578" s="38">
        <v>0</v>
      </c>
      <c r="K578" s="39"/>
      <c r="L578" s="39"/>
      <c r="M578" s="39"/>
      <c r="N578" s="39"/>
      <c r="O578" s="39"/>
      <c r="P578" s="39"/>
      <c r="Q578" s="39"/>
      <c r="R578" s="39"/>
      <c r="S578" s="39"/>
      <c r="T578" s="39"/>
    </row>
    <row r="579" spans="1:20" ht="15.75">
      <c r="A579" s="13">
        <v>58775</v>
      </c>
      <c r="B579" s="47">
        <v>30</v>
      </c>
      <c r="C579" s="38">
        <v>122.58</v>
      </c>
      <c r="D579" s="38">
        <v>297.94099999999997</v>
      </c>
      <c r="E579" s="44">
        <v>729.47900000000004</v>
      </c>
      <c r="F579" s="38">
        <v>1150</v>
      </c>
      <c r="G579" s="38">
        <v>100</v>
      </c>
      <c r="H579" s="46">
        <v>600</v>
      </c>
      <c r="I579" s="38">
        <v>695</v>
      </c>
      <c r="J579" s="38">
        <v>50</v>
      </c>
      <c r="K579" s="39"/>
      <c r="L579" s="39"/>
      <c r="M579" s="39"/>
      <c r="N579" s="39"/>
      <c r="O579" s="39"/>
      <c r="P579" s="39"/>
      <c r="Q579" s="39"/>
      <c r="R579" s="39"/>
      <c r="S579" s="39"/>
      <c r="T579" s="39"/>
    </row>
    <row r="580" spans="1:20" ht="15.75">
      <c r="A580" s="13">
        <v>58806</v>
      </c>
      <c r="B580" s="47">
        <v>31</v>
      </c>
      <c r="C580" s="38">
        <v>122.58</v>
      </c>
      <c r="D580" s="38">
        <v>297.94099999999997</v>
      </c>
      <c r="E580" s="44">
        <v>729.47900000000004</v>
      </c>
      <c r="F580" s="38">
        <v>1150</v>
      </c>
      <c r="G580" s="38">
        <v>100</v>
      </c>
      <c r="H580" s="46">
        <v>600</v>
      </c>
      <c r="I580" s="38">
        <v>695</v>
      </c>
      <c r="J580" s="38">
        <v>50</v>
      </c>
      <c r="K580" s="39"/>
      <c r="L580" s="39"/>
      <c r="M580" s="39"/>
      <c r="N580" s="39"/>
      <c r="O580" s="39"/>
      <c r="P580" s="39"/>
      <c r="Q580" s="39"/>
      <c r="R580" s="39"/>
      <c r="S580" s="39"/>
      <c r="T580" s="39"/>
    </row>
    <row r="581" spans="1:20" ht="15.75">
      <c r="A581" s="13">
        <v>58837</v>
      </c>
      <c r="B581" s="47">
        <v>31</v>
      </c>
      <c r="C581" s="38">
        <v>122.58</v>
      </c>
      <c r="D581" s="38">
        <v>297.94099999999997</v>
      </c>
      <c r="E581" s="44">
        <v>729.47900000000004</v>
      </c>
      <c r="F581" s="38">
        <v>1150</v>
      </c>
      <c r="G581" s="38">
        <v>100</v>
      </c>
      <c r="H581" s="46">
        <v>600</v>
      </c>
      <c r="I581" s="38">
        <v>695</v>
      </c>
      <c r="J581" s="38">
        <v>50</v>
      </c>
      <c r="K581" s="39"/>
      <c r="L581" s="39"/>
      <c r="M581" s="39"/>
      <c r="N581" s="39"/>
      <c r="O581" s="39"/>
      <c r="P581" s="39"/>
      <c r="Q581" s="39"/>
      <c r="R581" s="39"/>
      <c r="S581" s="39"/>
      <c r="T581" s="39"/>
    </row>
    <row r="582" spans="1:20" ht="15.75">
      <c r="A582" s="13">
        <v>58865</v>
      </c>
      <c r="B582" s="47">
        <v>28</v>
      </c>
      <c r="C582" s="38">
        <v>122.58</v>
      </c>
      <c r="D582" s="38">
        <v>297.94099999999997</v>
      </c>
      <c r="E582" s="44">
        <v>729.47900000000004</v>
      </c>
      <c r="F582" s="38">
        <v>1150</v>
      </c>
      <c r="G582" s="38">
        <v>100</v>
      </c>
      <c r="H582" s="46">
        <v>600</v>
      </c>
      <c r="I582" s="38">
        <v>695</v>
      </c>
      <c r="J582" s="38">
        <v>50</v>
      </c>
      <c r="K582" s="39"/>
      <c r="L582" s="39"/>
      <c r="M582" s="39"/>
      <c r="N582" s="39"/>
      <c r="O582" s="39"/>
      <c r="P582" s="39"/>
      <c r="Q582" s="39"/>
      <c r="R582" s="39"/>
      <c r="S582" s="39"/>
      <c r="T582" s="39"/>
    </row>
    <row r="583" spans="1:20" ht="15.75">
      <c r="A583" s="13">
        <v>58893</v>
      </c>
      <c r="B583" s="47">
        <v>31</v>
      </c>
      <c r="C583" s="38">
        <v>122.58</v>
      </c>
      <c r="D583" s="38">
        <v>297.94099999999997</v>
      </c>
      <c r="E583" s="44">
        <v>729.47900000000004</v>
      </c>
      <c r="F583" s="38">
        <v>1150</v>
      </c>
      <c r="G583" s="38">
        <v>100</v>
      </c>
      <c r="H583" s="46">
        <v>600</v>
      </c>
      <c r="I583" s="38">
        <v>695</v>
      </c>
      <c r="J583" s="38">
        <v>50</v>
      </c>
      <c r="K583" s="39"/>
      <c r="L583" s="39"/>
      <c r="M583" s="39"/>
      <c r="N583" s="39"/>
      <c r="O583" s="39"/>
      <c r="P583" s="39"/>
      <c r="Q583" s="39"/>
      <c r="R583" s="39"/>
      <c r="S583" s="39"/>
      <c r="T583" s="39"/>
    </row>
    <row r="584" spans="1:20" ht="15.75">
      <c r="A584" s="13">
        <v>58926</v>
      </c>
      <c r="B584" s="47">
        <v>30</v>
      </c>
      <c r="C584" s="38">
        <v>141.29300000000001</v>
      </c>
      <c r="D584" s="38">
        <v>267.99299999999999</v>
      </c>
      <c r="E584" s="44">
        <v>829.71400000000006</v>
      </c>
      <c r="F584" s="38">
        <v>1239</v>
      </c>
      <c r="G584" s="38">
        <v>100</v>
      </c>
      <c r="H584" s="46">
        <v>600</v>
      </c>
      <c r="I584" s="38">
        <v>695</v>
      </c>
      <c r="J584" s="38">
        <v>50</v>
      </c>
      <c r="K584" s="39"/>
      <c r="L584" s="39"/>
      <c r="M584" s="39"/>
      <c r="N584" s="39"/>
      <c r="O584" s="39"/>
      <c r="P584" s="39"/>
      <c r="Q584" s="39"/>
      <c r="R584" s="39"/>
      <c r="S584" s="39"/>
      <c r="T584" s="39"/>
    </row>
    <row r="585" spans="1:20" ht="15.75">
      <c r="A585" s="13">
        <v>58957</v>
      </c>
      <c r="B585" s="47">
        <v>31</v>
      </c>
      <c r="C585" s="38">
        <v>194.20500000000001</v>
      </c>
      <c r="D585" s="38">
        <v>267.46600000000001</v>
      </c>
      <c r="E585" s="44">
        <v>812.32899999999995</v>
      </c>
      <c r="F585" s="38">
        <v>1274</v>
      </c>
      <c r="G585" s="38">
        <v>75</v>
      </c>
      <c r="H585" s="46">
        <v>600</v>
      </c>
      <c r="I585" s="38">
        <v>695</v>
      </c>
      <c r="J585" s="38">
        <v>50</v>
      </c>
      <c r="K585" s="39"/>
      <c r="L585" s="39"/>
      <c r="M585" s="39"/>
      <c r="N585" s="39"/>
      <c r="O585" s="39"/>
      <c r="P585" s="39"/>
      <c r="Q585" s="39"/>
      <c r="R585" s="39"/>
      <c r="S585" s="39"/>
      <c r="T585" s="39"/>
    </row>
    <row r="586" spans="1:20" ht="15.75">
      <c r="A586" s="13">
        <v>58987</v>
      </c>
      <c r="B586" s="47">
        <v>30</v>
      </c>
      <c r="C586" s="38">
        <v>194.20500000000001</v>
      </c>
      <c r="D586" s="38">
        <v>267.46600000000001</v>
      </c>
      <c r="E586" s="44">
        <v>812.32899999999995</v>
      </c>
      <c r="F586" s="38">
        <v>1274</v>
      </c>
      <c r="G586" s="38">
        <v>50</v>
      </c>
      <c r="H586" s="46">
        <v>600</v>
      </c>
      <c r="I586" s="38">
        <v>695</v>
      </c>
      <c r="J586" s="38">
        <v>50</v>
      </c>
      <c r="K586" s="39"/>
      <c r="L586" s="39"/>
      <c r="M586" s="39"/>
      <c r="N586" s="39"/>
      <c r="O586" s="39"/>
      <c r="P586" s="39"/>
      <c r="Q586" s="39"/>
      <c r="R586" s="39"/>
      <c r="S586" s="39"/>
      <c r="T586" s="39"/>
    </row>
    <row r="587" spans="1:20" ht="15.75">
      <c r="A587" s="13">
        <v>59018</v>
      </c>
      <c r="B587" s="47">
        <v>31</v>
      </c>
      <c r="C587" s="38">
        <v>194.20500000000001</v>
      </c>
      <c r="D587" s="38">
        <v>267.46600000000001</v>
      </c>
      <c r="E587" s="44">
        <v>812.32899999999995</v>
      </c>
      <c r="F587" s="38">
        <v>1274</v>
      </c>
      <c r="G587" s="38">
        <v>50</v>
      </c>
      <c r="H587" s="46">
        <v>600</v>
      </c>
      <c r="I587" s="38">
        <v>695</v>
      </c>
      <c r="J587" s="38">
        <v>0</v>
      </c>
      <c r="K587" s="39"/>
      <c r="L587" s="39"/>
      <c r="M587" s="39"/>
      <c r="N587" s="39"/>
      <c r="O587" s="39"/>
      <c r="P587" s="39"/>
      <c r="Q587" s="39"/>
      <c r="R587" s="39"/>
      <c r="S587" s="39"/>
      <c r="T587" s="39"/>
    </row>
    <row r="588" spans="1:20" ht="15.75">
      <c r="A588" s="13">
        <v>59049</v>
      </c>
      <c r="B588" s="47">
        <v>31</v>
      </c>
      <c r="C588" s="38">
        <v>194.20500000000001</v>
      </c>
      <c r="D588" s="38">
        <v>267.46600000000001</v>
      </c>
      <c r="E588" s="44">
        <v>812.32899999999995</v>
      </c>
      <c r="F588" s="38">
        <v>1274</v>
      </c>
      <c r="G588" s="38">
        <v>50</v>
      </c>
      <c r="H588" s="46">
        <v>600</v>
      </c>
      <c r="I588" s="38">
        <v>695</v>
      </c>
      <c r="J588" s="38">
        <v>0</v>
      </c>
      <c r="K588" s="39"/>
      <c r="L588" s="39"/>
      <c r="M588" s="39"/>
      <c r="N588" s="39"/>
      <c r="O588" s="39"/>
      <c r="P588" s="39"/>
      <c r="Q588" s="39"/>
      <c r="R588" s="39"/>
      <c r="S588" s="39"/>
      <c r="T588" s="39"/>
    </row>
    <row r="589" spans="1:20" ht="15.75">
      <c r="A589" s="13">
        <v>59079</v>
      </c>
      <c r="B589" s="47">
        <v>30</v>
      </c>
      <c r="C589" s="38">
        <v>194.20500000000001</v>
      </c>
      <c r="D589" s="38">
        <v>267.46600000000001</v>
      </c>
      <c r="E589" s="44">
        <v>812.32899999999995</v>
      </c>
      <c r="F589" s="38">
        <v>1274</v>
      </c>
      <c r="G589" s="38">
        <v>50</v>
      </c>
      <c r="H589" s="46">
        <v>600</v>
      </c>
      <c r="I589" s="38">
        <v>695</v>
      </c>
      <c r="J589" s="38">
        <v>0</v>
      </c>
      <c r="K589" s="39"/>
      <c r="L589" s="39"/>
      <c r="M589" s="39"/>
      <c r="N589" s="39"/>
      <c r="O589" s="39"/>
      <c r="P589" s="39"/>
      <c r="Q589" s="39"/>
      <c r="R589" s="39"/>
      <c r="S589" s="39"/>
      <c r="T589" s="39"/>
    </row>
    <row r="590" spans="1:20" ht="15.75">
      <c r="A590" s="13">
        <v>59110</v>
      </c>
      <c r="B590" s="47">
        <v>31</v>
      </c>
      <c r="C590" s="38">
        <v>131.881</v>
      </c>
      <c r="D590" s="38">
        <v>277.16699999999997</v>
      </c>
      <c r="E590" s="44">
        <v>829.952</v>
      </c>
      <c r="F590" s="38">
        <v>1239</v>
      </c>
      <c r="G590" s="38">
        <v>75</v>
      </c>
      <c r="H590" s="46">
        <v>600</v>
      </c>
      <c r="I590" s="38">
        <v>695</v>
      </c>
      <c r="J590" s="38">
        <v>0</v>
      </c>
      <c r="K590" s="39"/>
      <c r="L590" s="39"/>
      <c r="M590" s="39"/>
      <c r="N590" s="39"/>
      <c r="O590" s="39"/>
      <c r="P590" s="39"/>
      <c r="Q590" s="39"/>
      <c r="R590" s="39"/>
      <c r="S590" s="39"/>
      <c r="T590" s="39"/>
    </row>
    <row r="591" spans="1:20" ht="15.75">
      <c r="A591" s="13">
        <v>59140</v>
      </c>
      <c r="B591" s="47">
        <v>30</v>
      </c>
      <c r="C591" s="38">
        <v>122.58</v>
      </c>
      <c r="D591" s="38">
        <v>297.94099999999997</v>
      </c>
      <c r="E591" s="44">
        <v>729.47900000000004</v>
      </c>
      <c r="F591" s="38">
        <v>1150</v>
      </c>
      <c r="G591" s="38">
        <v>100</v>
      </c>
      <c r="H591" s="46">
        <v>600</v>
      </c>
      <c r="I591" s="38">
        <v>695</v>
      </c>
      <c r="J591" s="38">
        <v>50</v>
      </c>
      <c r="K591" s="39"/>
      <c r="L591" s="39"/>
      <c r="M591" s="39"/>
      <c r="N591" s="39"/>
      <c r="O591" s="39"/>
      <c r="P591" s="39"/>
      <c r="Q591" s="39"/>
      <c r="R591" s="39"/>
      <c r="S591" s="39"/>
      <c r="T591" s="39"/>
    </row>
    <row r="592" spans="1:20" ht="15.75">
      <c r="A592" s="13">
        <v>59171</v>
      </c>
      <c r="B592" s="47">
        <v>31</v>
      </c>
      <c r="C592" s="38">
        <v>122.58</v>
      </c>
      <c r="D592" s="38">
        <v>297.94099999999997</v>
      </c>
      <c r="E592" s="44">
        <v>729.47900000000004</v>
      </c>
      <c r="F592" s="38">
        <v>1150</v>
      </c>
      <c r="G592" s="38">
        <v>100</v>
      </c>
      <c r="H592" s="46">
        <v>600</v>
      </c>
      <c r="I592" s="38">
        <v>695</v>
      </c>
      <c r="J592" s="38">
        <v>50</v>
      </c>
      <c r="K592" s="39"/>
      <c r="L592" s="39"/>
      <c r="M592" s="39"/>
      <c r="N592" s="39"/>
      <c r="O592" s="39"/>
      <c r="P592" s="39"/>
      <c r="Q592" s="39"/>
      <c r="R592" s="39"/>
      <c r="S592" s="39"/>
      <c r="T592" s="39"/>
    </row>
    <row r="593" spans="1:20" ht="15.75">
      <c r="A593" s="13">
        <v>59202</v>
      </c>
      <c r="B593" s="47">
        <f t="shared" ref="B593:B656" si="0">EOMONTH(A593,0)-EOMONTH(A593,-1)</f>
        <v>31</v>
      </c>
      <c r="C593" s="38">
        <v>122.58</v>
      </c>
      <c r="D593" s="38">
        <v>297.94099999999997</v>
      </c>
      <c r="E593" s="44">
        <v>729.47900000000004</v>
      </c>
      <c r="F593" s="38">
        <v>1150</v>
      </c>
      <c r="G593" s="38">
        <v>100</v>
      </c>
      <c r="H593" s="46">
        <v>600</v>
      </c>
      <c r="I593" s="38">
        <v>695</v>
      </c>
      <c r="J593" s="38">
        <v>50</v>
      </c>
      <c r="K593" s="39"/>
      <c r="L593" s="39"/>
      <c r="M593" s="39"/>
      <c r="N593" s="39"/>
      <c r="O593" s="39"/>
      <c r="P593" s="39"/>
      <c r="Q593" s="39"/>
      <c r="R593" s="39"/>
      <c r="S593" s="39"/>
      <c r="T593" s="39"/>
    </row>
    <row r="594" spans="1:20" ht="15.75">
      <c r="A594" s="13">
        <v>59230</v>
      </c>
      <c r="B594" s="47">
        <f t="shared" si="0"/>
        <v>28</v>
      </c>
      <c r="C594" s="38">
        <v>122.58</v>
      </c>
      <c r="D594" s="38">
        <v>297.94099999999997</v>
      </c>
      <c r="E594" s="44">
        <v>729.47900000000004</v>
      </c>
      <c r="F594" s="38">
        <v>1150</v>
      </c>
      <c r="G594" s="38">
        <v>100</v>
      </c>
      <c r="H594" s="46">
        <v>600</v>
      </c>
      <c r="I594" s="38">
        <v>695</v>
      </c>
      <c r="J594" s="38">
        <v>50</v>
      </c>
      <c r="K594" s="39"/>
      <c r="L594" s="39"/>
      <c r="M594" s="39"/>
      <c r="N594" s="39"/>
      <c r="O594" s="39"/>
      <c r="P594" s="39"/>
      <c r="Q594" s="39"/>
      <c r="R594" s="39"/>
      <c r="S594" s="39"/>
      <c r="T594" s="39"/>
    </row>
    <row r="595" spans="1:20" ht="15.75">
      <c r="A595" s="13">
        <v>59261</v>
      </c>
      <c r="B595" s="47">
        <f t="shared" si="0"/>
        <v>31</v>
      </c>
      <c r="C595" s="38">
        <v>122.58</v>
      </c>
      <c r="D595" s="38">
        <v>297.94099999999997</v>
      </c>
      <c r="E595" s="44">
        <v>729.47900000000004</v>
      </c>
      <c r="F595" s="38">
        <v>1150</v>
      </c>
      <c r="G595" s="38">
        <v>100</v>
      </c>
      <c r="H595" s="46">
        <v>600</v>
      </c>
      <c r="I595" s="38">
        <v>695</v>
      </c>
      <c r="J595" s="38">
        <v>50</v>
      </c>
      <c r="K595" s="39"/>
      <c r="L595" s="39"/>
      <c r="M595" s="39"/>
      <c r="N595" s="39"/>
      <c r="O595" s="39"/>
      <c r="P595" s="39"/>
      <c r="Q595" s="39"/>
      <c r="R595" s="39"/>
      <c r="S595" s="39"/>
      <c r="T595" s="39"/>
    </row>
    <row r="596" spans="1:20" ht="15.75">
      <c r="A596" s="13">
        <v>59291</v>
      </c>
      <c r="B596" s="47">
        <f t="shared" si="0"/>
        <v>30</v>
      </c>
      <c r="C596" s="38">
        <v>141.29300000000001</v>
      </c>
      <c r="D596" s="38">
        <v>267.99299999999999</v>
      </c>
      <c r="E596" s="44">
        <v>829.71400000000006</v>
      </c>
      <c r="F596" s="38">
        <v>1239</v>
      </c>
      <c r="G596" s="38">
        <v>100</v>
      </c>
      <c r="H596" s="46">
        <v>600</v>
      </c>
      <c r="I596" s="38">
        <v>695</v>
      </c>
      <c r="J596" s="38">
        <v>50</v>
      </c>
      <c r="K596" s="39"/>
      <c r="L596" s="39"/>
      <c r="M596" s="39"/>
      <c r="N596" s="39"/>
      <c r="O596" s="39"/>
      <c r="P596" s="39"/>
      <c r="Q596" s="39"/>
      <c r="R596" s="39"/>
      <c r="S596" s="39"/>
      <c r="T596" s="39"/>
    </row>
    <row r="597" spans="1:20" ht="15.75">
      <c r="A597" s="13">
        <v>59322</v>
      </c>
      <c r="B597" s="47">
        <f t="shared" si="0"/>
        <v>31</v>
      </c>
      <c r="C597" s="38">
        <v>194.20500000000001</v>
      </c>
      <c r="D597" s="38">
        <v>267.46600000000001</v>
      </c>
      <c r="E597" s="44">
        <v>812.32899999999995</v>
      </c>
      <c r="F597" s="38">
        <v>1274</v>
      </c>
      <c r="G597" s="38">
        <v>75</v>
      </c>
      <c r="H597" s="46">
        <v>600</v>
      </c>
      <c r="I597" s="38">
        <v>695</v>
      </c>
      <c r="J597" s="38">
        <v>50</v>
      </c>
      <c r="K597" s="39"/>
      <c r="L597" s="39"/>
      <c r="M597" s="39"/>
      <c r="N597" s="39"/>
      <c r="O597" s="39"/>
      <c r="P597" s="39"/>
      <c r="Q597" s="39"/>
      <c r="R597" s="39"/>
      <c r="S597" s="39"/>
      <c r="T597" s="39"/>
    </row>
    <row r="598" spans="1:20" ht="15.75">
      <c r="A598" s="13">
        <v>59352</v>
      </c>
      <c r="B598" s="47">
        <f t="shared" si="0"/>
        <v>30</v>
      </c>
      <c r="C598" s="38">
        <v>194.20500000000001</v>
      </c>
      <c r="D598" s="38">
        <v>267.46600000000001</v>
      </c>
      <c r="E598" s="44">
        <v>812.32899999999995</v>
      </c>
      <c r="F598" s="38">
        <v>1274</v>
      </c>
      <c r="G598" s="38">
        <v>50</v>
      </c>
      <c r="H598" s="46">
        <v>600</v>
      </c>
      <c r="I598" s="38">
        <v>695</v>
      </c>
      <c r="J598" s="38">
        <v>50</v>
      </c>
      <c r="K598" s="39"/>
      <c r="L598" s="39"/>
      <c r="M598" s="39"/>
      <c r="N598" s="39"/>
      <c r="O598" s="39"/>
      <c r="P598" s="39"/>
      <c r="Q598" s="39"/>
      <c r="R598" s="39"/>
      <c r="S598" s="39"/>
      <c r="T598" s="39"/>
    </row>
    <row r="599" spans="1:20" ht="15.75">
      <c r="A599" s="13">
        <v>59383</v>
      </c>
      <c r="B599" s="47">
        <f t="shared" si="0"/>
        <v>31</v>
      </c>
      <c r="C599" s="38">
        <v>194.20500000000001</v>
      </c>
      <c r="D599" s="38">
        <v>267.46600000000001</v>
      </c>
      <c r="E599" s="44">
        <v>812.32899999999995</v>
      </c>
      <c r="F599" s="38">
        <v>1274</v>
      </c>
      <c r="G599" s="38">
        <v>50</v>
      </c>
      <c r="H599" s="46">
        <v>600</v>
      </c>
      <c r="I599" s="38">
        <v>695</v>
      </c>
      <c r="J599" s="38">
        <v>0</v>
      </c>
      <c r="K599" s="39"/>
      <c r="L599" s="39"/>
      <c r="M599" s="39"/>
      <c r="N599" s="39"/>
      <c r="O599" s="39"/>
      <c r="P599" s="39"/>
      <c r="Q599" s="39"/>
      <c r="R599" s="39"/>
      <c r="S599" s="39"/>
      <c r="T599" s="39"/>
    </row>
    <row r="600" spans="1:20" ht="15.75">
      <c r="A600" s="13">
        <v>59414</v>
      </c>
      <c r="B600" s="47">
        <f t="shared" si="0"/>
        <v>31</v>
      </c>
      <c r="C600" s="38">
        <v>194.20500000000001</v>
      </c>
      <c r="D600" s="38">
        <v>267.46600000000001</v>
      </c>
      <c r="E600" s="44">
        <v>812.32899999999995</v>
      </c>
      <c r="F600" s="38">
        <v>1274</v>
      </c>
      <c r="G600" s="38">
        <v>50</v>
      </c>
      <c r="H600" s="46">
        <v>600</v>
      </c>
      <c r="I600" s="38">
        <v>695</v>
      </c>
      <c r="J600" s="38">
        <v>0</v>
      </c>
      <c r="K600" s="39"/>
      <c r="L600" s="39"/>
      <c r="M600" s="39"/>
      <c r="N600" s="39"/>
      <c r="O600" s="39"/>
      <c r="P600" s="39"/>
      <c r="Q600" s="39"/>
      <c r="R600" s="39"/>
      <c r="S600" s="39"/>
      <c r="T600" s="39"/>
    </row>
    <row r="601" spans="1:20" ht="15.75">
      <c r="A601" s="13">
        <v>59444</v>
      </c>
      <c r="B601" s="47">
        <f t="shared" si="0"/>
        <v>30</v>
      </c>
      <c r="C601" s="38">
        <v>194.20500000000001</v>
      </c>
      <c r="D601" s="38">
        <v>267.46600000000001</v>
      </c>
      <c r="E601" s="44">
        <v>812.32899999999995</v>
      </c>
      <c r="F601" s="38">
        <v>1274</v>
      </c>
      <c r="G601" s="38">
        <v>50</v>
      </c>
      <c r="H601" s="46">
        <v>600</v>
      </c>
      <c r="I601" s="38">
        <v>695</v>
      </c>
      <c r="J601" s="38">
        <v>0</v>
      </c>
      <c r="K601" s="39"/>
      <c r="L601" s="39"/>
      <c r="M601" s="39"/>
      <c r="N601" s="39"/>
      <c r="O601" s="39"/>
      <c r="P601" s="39"/>
      <c r="Q601" s="39"/>
      <c r="R601" s="39"/>
      <c r="S601" s="39"/>
      <c r="T601" s="39"/>
    </row>
    <row r="602" spans="1:20" ht="15.75">
      <c r="A602" s="13">
        <v>59475</v>
      </c>
      <c r="B602" s="47">
        <f t="shared" si="0"/>
        <v>31</v>
      </c>
      <c r="C602" s="38">
        <v>131.881</v>
      </c>
      <c r="D602" s="38">
        <v>277.16699999999997</v>
      </c>
      <c r="E602" s="44">
        <v>829.952</v>
      </c>
      <c r="F602" s="38">
        <v>1239</v>
      </c>
      <c r="G602" s="38">
        <v>75</v>
      </c>
      <c r="H602" s="46">
        <v>600</v>
      </c>
      <c r="I602" s="38">
        <v>695</v>
      </c>
      <c r="J602" s="38">
        <v>0</v>
      </c>
      <c r="K602" s="39"/>
      <c r="L602" s="39"/>
      <c r="M602" s="39"/>
      <c r="N602" s="39"/>
      <c r="O602" s="39"/>
      <c r="P602" s="39"/>
      <c r="Q602" s="39"/>
      <c r="R602" s="39"/>
      <c r="S602" s="39"/>
      <c r="T602" s="39"/>
    </row>
    <row r="603" spans="1:20" ht="15.75">
      <c r="A603" s="13">
        <v>59505</v>
      </c>
      <c r="B603" s="47">
        <f t="shared" si="0"/>
        <v>30</v>
      </c>
      <c r="C603" s="38">
        <v>122.58</v>
      </c>
      <c r="D603" s="38">
        <v>297.94099999999997</v>
      </c>
      <c r="E603" s="44">
        <v>729.47900000000004</v>
      </c>
      <c r="F603" s="38">
        <v>1150</v>
      </c>
      <c r="G603" s="38">
        <v>100</v>
      </c>
      <c r="H603" s="46">
        <v>600</v>
      </c>
      <c r="I603" s="38">
        <v>695</v>
      </c>
      <c r="J603" s="38">
        <v>50</v>
      </c>
      <c r="K603" s="39"/>
      <c r="L603" s="39"/>
      <c r="M603" s="39"/>
      <c r="N603" s="39"/>
      <c r="O603" s="39"/>
      <c r="P603" s="39"/>
      <c r="Q603" s="39"/>
      <c r="R603" s="39"/>
      <c r="S603" s="39"/>
      <c r="T603" s="39"/>
    </row>
    <row r="604" spans="1:20" ht="15.75">
      <c r="A604" s="13">
        <v>59536</v>
      </c>
      <c r="B604" s="47">
        <f t="shared" si="0"/>
        <v>31</v>
      </c>
      <c r="C604" s="38">
        <v>122.58</v>
      </c>
      <c r="D604" s="38">
        <v>297.94099999999997</v>
      </c>
      <c r="E604" s="44">
        <v>729.47900000000004</v>
      </c>
      <c r="F604" s="38">
        <v>1150</v>
      </c>
      <c r="G604" s="38">
        <v>100</v>
      </c>
      <c r="H604" s="46">
        <v>600</v>
      </c>
      <c r="I604" s="38">
        <v>695</v>
      </c>
      <c r="J604" s="38">
        <v>50</v>
      </c>
      <c r="K604" s="39"/>
      <c r="L604" s="39"/>
      <c r="M604" s="39"/>
      <c r="N604" s="39"/>
      <c r="O604" s="39"/>
      <c r="P604" s="39"/>
      <c r="Q604" s="39"/>
      <c r="R604" s="39"/>
      <c r="S604" s="39"/>
      <c r="T604" s="39"/>
    </row>
    <row r="605" spans="1:20" ht="15.75">
      <c r="A605" s="13">
        <v>59567</v>
      </c>
      <c r="B605" s="47">
        <f t="shared" si="0"/>
        <v>31</v>
      </c>
      <c r="C605" s="38">
        <v>122.58</v>
      </c>
      <c r="D605" s="38">
        <v>297.94099999999997</v>
      </c>
      <c r="E605" s="44">
        <v>729.47900000000004</v>
      </c>
      <c r="F605" s="38">
        <v>1150</v>
      </c>
      <c r="G605" s="38">
        <v>100</v>
      </c>
      <c r="H605" s="46">
        <v>600</v>
      </c>
      <c r="I605" s="38">
        <v>695</v>
      </c>
      <c r="J605" s="38">
        <v>50</v>
      </c>
      <c r="K605" s="39"/>
      <c r="L605" s="39"/>
      <c r="M605" s="39"/>
      <c r="N605" s="39"/>
      <c r="O605" s="39"/>
      <c r="P605" s="39"/>
      <c r="Q605" s="39"/>
      <c r="R605" s="39"/>
      <c r="S605" s="39"/>
      <c r="T605" s="39"/>
    </row>
    <row r="606" spans="1:20" ht="15.75">
      <c r="A606" s="13">
        <v>59595</v>
      </c>
      <c r="B606" s="47">
        <f t="shared" si="0"/>
        <v>28</v>
      </c>
      <c r="C606" s="38">
        <v>122.58</v>
      </c>
      <c r="D606" s="38">
        <v>297.94099999999997</v>
      </c>
      <c r="E606" s="44">
        <v>729.47900000000004</v>
      </c>
      <c r="F606" s="38">
        <v>1150</v>
      </c>
      <c r="G606" s="38">
        <v>100</v>
      </c>
      <c r="H606" s="46">
        <v>600</v>
      </c>
      <c r="I606" s="38">
        <v>695</v>
      </c>
      <c r="J606" s="38">
        <v>50</v>
      </c>
      <c r="K606" s="39"/>
      <c r="L606" s="39"/>
      <c r="M606" s="39"/>
      <c r="N606" s="39"/>
      <c r="O606" s="39"/>
      <c r="P606" s="39"/>
      <c r="Q606" s="39"/>
      <c r="R606" s="39"/>
      <c r="S606" s="39"/>
      <c r="T606" s="39"/>
    </row>
    <row r="607" spans="1:20" ht="15.75">
      <c r="A607" s="13">
        <v>59626</v>
      </c>
      <c r="B607" s="47">
        <f t="shared" si="0"/>
        <v>31</v>
      </c>
      <c r="C607" s="38">
        <v>122.58</v>
      </c>
      <c r="D607" s="38">
        <v>297.94099999999997</v>
      </c>
      <c r="E607" s="44">
        <v>729.47900000000004</v>
      </c>
      <c r="F607" s="38">
        <v>1150</v>
      </c>
      <c r="G607" s="38">
        <v>100</v>
      </c>
      <c r="H607" s="46">
        <v>600</v>
      </c>
      <c r="I607" s="38">
        <v>695</v>
      </c>
      <c r="J607" s="38">
        <v>50</v>
      </c>
      <c r="K607" s="39"/>
      <c r="L607" s="39"/>
      <c r="M607" s="39"/>
      <c r="N607" s="39"/>
      <c r="O607" s="39"/>
      <c r="P607" s="39"/>
      <c r="Q607" s="39"/>
      <c r="R607" s="39"/>
      <c r="S607" s="39"/>
      <c r="T607" s="39"/>
    </row>
    <row r="608" spans="1:20" ht="15.75">
      <c r="A608" s="13">
        <v>59656</v>
      </c>
      <c r="B608" s="47">
        <f t="shared" si="0"/>
        <v>30</v>
      </c>
      <c r="C608" s="38">
        <v>141.29300000000001</v>
      </c>
      <c r="D608" s="38">
        <v>267.99299999999999</v>
      </c>
      <c r="E608" s="44">
        <v>829.71400000000006</v>
      </c>
      <c r="F608" s="38">
        <v>1239</v>
      </c>
      <c r="G608" s="38">
        <v>100</v>
      </c>
      <c r="H608" s="46">
        <v>600</v>
      </c>
      <c r="I608" s="38">
        <v>695</v>
      </c>
      <c r="J608" s="38">
        <v>50</v>
      </c>
      <c r="K608" s="39"/>
      <c r="L608" s="39"/>
      <c r="M608" s="39"/>
      <c r="N608" s="39"/>
      <c r="O608" s="39"/>
      <c r="P608" s="39"/>
      <c r="Q608" s="39"/>
      <c r="R608" s="39"/>
      <c r="S608" s="39"/>
      <c r="T608" s="39"/>
    </row>
    <row r="609" spans="1:20" ht="15.75">
      <c r="A609" s="13">
        <v>59687</v>
      </c>
      <c r="B609" s="47">
        <f t="shared" si="0"/>
        <v>31</v>
      </c>
      <c r="C609" s="38">
        <v>194.20500000000001</v>
      </c>
      <c r="D609" s="38">
        <v>267.46600000000001</v>
      </c>
      <c r="E609" s="44">
        <v>812.32899999999995</v>
      </c>
      <c r="F609" s="38">
        <v>1274</v>
      </c>
      <c r="G609" s="38">
        <v>75</v>
      </c>
      <c r="H609" s="46">
        <v>600</v>
      </c>
      <c r="I609" s="38">
        <v>695</v>
      </c>
      <c r="J609" s="38">
        <v>50</v>
      </c>
      <c r="K609" s="39"/>
      <c r="L609" s="39"/>
      <c r="M609" s="39"/>
      <c r="N609" s="39"/>
      <c r="O609" s="39"/>
      <c r="P609" s="39"/>
      <c r="Q609" s="39"/>
      <c r="R609" s="39"/>
      <c r="S609" s="39"/>
      <c r="T609" s="39"/>
    </row>
    <row r="610" spans="1:20" ht="15.75">
      <c r="A610" s="13">
        <v>59717</v>
      </c>
      <c r="B610" s="47">
        <f t="shared" si="0"/>
        <v>30</v>
      </c>
      <c r="C610" s="38">
        <v>194.20500000000001</v>
      </c>
      <c r="D610" s="38">
        <v>267.46600000000001</v>
      </c>
      <c r="E610" s="44">
        <v>812.32899999999995</v>
      </c>
      <c r="F610" s="38">
        <v>1274</v>
      </c>
      <c r="G610" s="38">
        <v>50</v>
      </c>
      <c r="H610" s="46">
        <v>600</v>
      </c>
      <c r="I610" s="38">
        <v>695</v>
      </c>
      <c r="J610" s="38">
        <v>50</v>
      </c>
      <c r="K610" s="39"/>
      <c r="L610" s="39"/>
      <c r="M610" s="39"/>
      <c r="N610" s="39"/>
      <c r="O610" s="39"/>
      <c r="P610" s="39"/>
      <c r="Q610" s="39"/>
      <c r="R610" s="39"/>
      <c r="S610" s="39"/>
      <c r="T610" s="39"/>
    </row>
    <row r="611" spans="1:20" ht="15.75">
      <c r="A611" s="13">
        <v>59748</v>
      </c>
      <c r="B611" s="47">
        <f t="shared" si="0"/>
        <v>31</v>
      </c>
      <c r="C611" s="38">
        <v>194.20500000000001</v>
      </c>
      <c r="D611" s="38">
        <v>267.46600000000001</v>
      </c>
      <c r="E611" s="44">
        <v>812.32899999999995</v>
      </c>
      <c r="F611" s="38">
        <v>1274</v>
      </c>
      <c r="G611" s="38">
        <v>50</v>
      </c>
      <c r="H611" s="46">
        <v>600</v>
      </c>
      <c r="I611" s="38">
        <v>695</v>
      </c>
      <c r="J611" s="38">
        <v>0</v>
      </c>
      <c r="K611" s="39"/>
      <c r="L611" s="39"/>
      <c r="M611" s="39"/>
      <c r="N611" s="39"/>
      <c r="O611" s="39"/>
      <c r="P611" s="39"/>
      <c r="Q611" s="39"/>
      <c r="R611" s="39"/>
      <c r="S611" s="39"/>
      <c r="T611" s="39"/>
    </row>
    <row r="612" spans="1:20" ht="15.75">
      <c r="A612" s="13">
        <v>59779</v>
      </c>
      <c r="B612" s="47">
        <f t="shared" si="0"/>
        <v>31</v>
      </c>
      <c r="C612" s="38">
        <v>194.20500000000001</v>
      </c>
      <c r="D612" s="38">
        <v>267.46600000000001</v>
      </c>
      <c r="E612" s="44">
        <v>812.32899999999995</v>
      </c>
      <c r="F612" s="38">
        <v>1274</v>
      </c>
      <c r="G612" s="38">
        <v>50</v>
      </c>
      <c r="H612" s="46">
        <v>600</v>
      </c>
      <c r="I612" s="38">
        <v>695</v>
      </c>
      <c r="J612" s="38">
        <v>0</v>
      </c>
      <c r="K612" s="39"/>
      <c r="L612" s="39"/>
      <c r="M612" s="39"/>
      <c r="N612" s="39"/>
      <c r="O612" s="39"/>
      <c r="P612" s="39"/>
      <c r="Q612" s="39"/>
      <c r="R612" s="39"/>
      <c r="S612" s="39"/>
      <c r="T612" s="39"/>
    </row>
    <row r="613" spans="1:20" ht="15.75">
      <c r="A613" s="13">
        <v>59809</v>
      </c>
      <c r="B613" s="47">
        <f t="shared" si="0"/>
        <v>30</v>
      </c>
      <c r="C613" s="38">
        <v>194.20500000000001</v>
      </c>
      <c r="D613" s="38">
        <v>267.46600000000001</v>
      </c>
      <c r="E613" s="44">
        <v>812.32899999999995</v>
      </c>
      <c r="F613" s="38">
        <v>1274</v>
      </c>
      <c r="G613" s="38">
        <v>50</v>
      </c>
      <c r="H613" s="46">
        <v>600</v>
      </c>
      <c r="I613" s="38">
        <v>695</v>
      </c>
      <c r="J613" s="38">
        <v>0</v>
      </c>
      <c r="K613" s="39"/>
      <c r="L613" s="39"/>
      <c r="M613" s="39"/>
      <c r="N613" s="39"/>
      <c r="O613" s="39"/>
      <c r="P613" s="39"/>
      <c r="Q613" s="39"/>
      <c r="R613" s="39"/>
      <c r="S613" s="39"/>
      <c r="T613" s="39"/>
    </row>
    <row r="614" spans="1:20" ht="15.75">
      <c r="A614" s="13">
        <v>59840</v>
      </c>
      <c r="B614" s="47">
        <f t="shared" si="0"/>
        <v>31</v>
      </c>
      <c r="C614" s="38">
        <v>131.881</v>
      </c>
      <c r="D614" s="38">
        <v>277.16699999999997</v>
      </c>
      <c r="E614" s="44">
        <v>829.952</v>
      </c>
      <c r="F614" s="38">
        <v>1239</v>
      </c>
      <c r="G614" s="38">
        <v>75</v>
      </c>
      <c r="H614" s="46">
        <v>600</v>
      </c>
      <c r="I614" s="38">
        <v>695</v>
      </c>
      <c r="J614" s="38">
        <v>0</v>
      </c>
      <c r="K614" s="39"/>
      <c r="L614" s="39"/>
      <c r="M614" s="39"/>
      <c r="N614" s="39"/>
      <c r="O614" s="39"/>
      <c r="P614" s="39"/>
      <c r="Q614" s="39"/>
      <c r="R614" s="39"/>
      <c r="S614" s="39"/>
      <c r="T614" s="39"/>
    </row>
    <row r="615" spans="1:20" ht="15.75">
      <c r="A615" s="13">
        <v>59870</v>
      </c>
      <c r="B615" s="47">
        <f t="shared" si="0"/>
        <v>30</v>
      </c>
      <c r="C615" s="38">
        <v>122.58</v>
      </c>
      <c r="D615" s="38">
        <v>297.94099999999997</v>
      </c>
      <c r="E615" s="44">
        <v>729.47900000000004</v>
      </c>
      <c r="F615" s="38">
        <v>1150</v>
      </c>
      <c r="G615" s="38">
        <v>100</v>
      </c>
      <c r="H615" s="46">
        <v>600</v>
      </c>
      <c r="I615" s="38">
        <v>695</v>
      </c>
      <c r="J615" s="38">
        <v>50</v>
      </c>
      <c r="K615" s="39"/>
      <c r="L615" s="39"/>
      <c r="M615" s="39"/>
      <c r="N615" s="39"/>
      <c r="O615" s="39"/>
      <c r="P615" s="39"/>
      <c r="Q615" s="39"/>
      <c r="R615" s="39"/>
      <c r="S615" s="39"/>
      <c r="T615" s="39"/>
    </row>
    <row r="616" spans="1:20" ht="15.75">
      <c r="A616" s="13">
        <v>59901</v>
      </c>
      <c r="B616" s="47">
        <f t="shared" si="0"/>
        <v>31</v>
      </c>
      <c r="C616" s="38">
        <v>122.58</v>
      </c>
      <c r="D616" s="38">
        <v>297.94099999999997</v>
      </c>
      <c r="E616" s="44">
        <v>729.47900000000004</v>
      </c>
      <c r="F616" s="38">
        <v>1150</v>
      </c>
      <c r="G616" s="38">
        <v>100</v>
      </c>
      <c r="H616" s="46">
        <v>600</v>
      </c>
      <c r="I616" s="38">
        <v>695</v>
      </c>
      <c r="J616" s="38">
        <v>50</v>
      </c>
      <c r="K616" s="39"/>
      <c r="L616" s="39"/>
      <c r="M616" s="39"/>
      <c r="N616" s="39"/>
      <c r="O616" s="39"/>
      <c r="P616" s="39"/>
      <c r="Q616" s="39"/>
      <c r="R616" s="39"/>
      <c r="S616" s="39"/>
      <c r="T616" s="39"/>
    </row>
    <row r="617" spans="1:20" ht="15.75">
      <c r="A617" s="13">
        <v>59932</v>
      </c>
      <c r="B617" s="47">
        <f t="shared" si="0"/>
        <v>31</v>
      </c>
      <c r="C617" s="38">
        <v>122.58</v>
      </c>
      <c r="D617" s="38">
        <v>297.94099999999997</v>
      </c>
      <c r="E617" s="44">
        <v>729.47900000000004</v>
      </c>
      <c r="F617" s="38">
        <v>1150</v>
      </c>
      <c r="G617" s="38">
        <v>100</v>
      </c>
      <c r="H617" s="46">
        <v>600</v>
      </c>
      <c r="I617" s="38">
        <v>695</v>
      </c>
      <c r="J617" s="38">
        <v>50</v>
      </c>
      <c r="K617" s="39"/>
      <c r="L617" s="39"/>
      <c r="M617" s="39"/>
      <c r="N617" s="39"/>
      <c r="O617" s="39"/>
      <c r="P617" s="39"/>
      <c r="Q617" s="39"/>
      <c r="R617" s="39"/>
      <c r="S617" s="39"/>
      <c r="T617" s="39"/>
    </row>
    <row r="618" spans="1:20" ht="15.75">
      <c r="A618" s="13">
        <v>59961</v>
      </c>
      <c r="B618" s="47">
        <f t="shared" si="0"/>
        <v>29</v>
      </c>
      <c r="C618" s="38">
        <v>122.58</v>
      </c>
      <c r="D618" s="38">
        <v>297.94099999999997</v>
      </c>
      <c r="E618" s="44">
        <v>729.47900000000004</v>
      </c>
      <c r="F618" s="38">
        <v>1150</v>
      </c>
      <c r="G618" s="38">
        <v>100</v>
      </c>
      <c r="H618" s="46">
        <v>600</v>
      </c>
      <c r="I618" s="38">
        <v>695</v>
      </c>
      <c r="J618" s="38">
        <v>50</v>
      </c>
      <c r="K618" s="39"/>
      <c r="L618" s="39"/>
      <c r="M618" s="39"/>
      <c r="N618" s="39"/>
      <c r="O618" s="39"/>
      <c r="P618" s="39"/>
      <c r="Q618" s="39"/>
      <c r="R618" s="39"/>
      <c r="S618" s="39"/>
      <c r="T618" s="39"/>
    </row>
    <row r="619" spans="1:20" ht="15.75">
      <c r="A619" s="13">
        <v>59992</v>
      </c>
      <c r="B619" s="47">
        <f t="shared" si="0"/>
        <v>31</v>
      </c>
      <c r="C619" s="38">
        <v>122.58</v>
      </c>
      <c r="D619" s="38">
        <v>297.94099999999997</v>
      </c>
      <c r="E619" s="44">
        <v>729.47900000000004</v>
      </c>
      <c r="F619" s="38">
        <v>1150</v>
      </c>
      <c r="G619" s="38">
        <v>100</v>
      </c>
      <c r="H619" s="46">
        <v>600</v>
      </c>
      <c r="I619" s="38">
        <v>695</v>
      </c>
      <c r="J619" s="38">
        <v>50</v>
      </c>
      <c r="K619" s="39"/>
      <c r="L619" s="39"/>
      <c r="M619" s="39"/>
      <c r="N619" s="39"/>
      <c r="O619" s="39"/>
      <c r="P619" s="39"/>
      <c r="Q619" s="39"/>
      <c r="R619" s="39"/>
      <c r="S619" s="39"/>
      <c r="T619" s="39"/>
    </row>
    <row r="620" spans="1:20" ht="15.75">
      <c r="A620" s="13">
        <v>60022</v>
      </c>
      <c r="B620" s="47">
        <f t="shared" si="0"/>
        <v>30</v>
      </c>
      <c r="C620" s="38">
        <v>141.29300000000001</v>
      </c>
      <c r="D620" s="38">
        <v>267.99299999999999</v>
      </c>
      <c r="E620" s="44">
        <v>829.71400000000006</v>
      </c>
      <c r="F620" s="38">
        <v>1239</v>
      </c>
      <c r="G620" s="38">
        <v>100</v>
      </c>
      <c r="H620" s="46">
        <v>600</v>
      </c>
      <c r="I620" s="38">
        <v>695</v>
      </c>
      <c r="J620" s="38">
        <v>50</v>
      </c>
      <c r="K620" s="39"/>
      <c r="L620" s="39"/>
      <c r="M620" s="39"/>
      <c r="N620" s="39"/>
      <c r="O620" s="39"/>
      <c r="P620" s="39"/>
      <c r="Q620" s="39"/>
      <c r="R620" s="39"/>
      <c r="S620" s="39"/>
      <c r="T620" s="39"/>
    </row>
    <row r="621" spans="1:20" ht="15.75">
      <c r="A621" s="13">
        <v>60053</v>
      </c>
      <c r="B621" s="47">
        <f t="shared" si="0"/>
        <v>31</v>
      </c>
      <c r="C621" s="38">
        <v>194.20500000000001</v>
      </c>
      <c r="D621" s="38">
        <v>267.46600000000001</v>
      </c>
      <c r="E621" s="44">
        <v>812.32899999999995</v>
      </c>
      <c r="F621" s="38">
        <v>1274</v>
      </c>
      <c r="G621" s="38">
        <v>75</v>
      </c>
      <c r="H621" s="46">
        <v>600</v>
      </c>
      <c r="I621" s="38">
        <v>695</v>
      </c>
      <c r="J621" s="38">
        <v>50</v>
      </c>
      <c r="K621" s="39"/>
      <c r="L621" s="39"/>
      <c r="M621" s="39"/>
      <c r="N621" s="39"/>
      <c r="O621" s="39"/>
      <c r="P621" s="39"/>
      <c r="Q621" s="39"/>
      <c r="R621" s="39"/>
      <c r="S621" s="39"/>
      <c r="T621" s="39"/>
    </row>
    <row r="622" spans="1:20" ht="15.75">
      <c r="A622" s="13">
        <v>60083</v>
      </c>
      <c r="B622" s="47">
        <f t="shared" si="0"/>
        <v>30</v>
      </c>
      <c r="C622" s="38">
        <v>194.20500000000001</v>
      </c>
      <c r="D622" s="38">
        <v>267.46600000000001</v>
      </c>
      <c r="E622" s="44">
        <v>812.32899999999995</v>
      </c>
      <c r="F622" s="38">
        <v>1274</v>
      </c>
      <c r="G622" s="38">
        <v>50</v>
      </c>
      <c r="H622" s="46">
        <v>600</v>
      </c>
      <c r="I622" s="38">
        <v>695</v>
      </c>
      <c r="J622" s="38">
        <v>50</v>
      </c>
      <c r="K622" s="39"/>
      <c r="L622" s="39"/>
      <c r="M622" s="39"/>
      <c r="N622" s="39"/>
      <c r="O622" s="39"/>
      <c r="P622" s="39"/>
      <c r="Q622" s="39"/>
      <c r="R622" s="39"/>
      <c r="S622" s="39"/>
      <c r="T622" s="39"/>
    </row>
    <row r="623" spans="1:20" ht="15.75">
      <c r="A623" s="13">
        <v>60114</v>
      </c>
      <c r="B623" s="47">
        <f t="shared" si="0"/>
        <v>31</v>
      </c>
      <c r="C623" s="38">
        <v>194.20500000000001</v>
      </c>
      <c r="D623" s="38">
        <v>267.46600000000001</v>
      </c>
      <c r="E623" s="44">
        <v>812.32899999999995</v>
      </c>
      <c r="F623" s="38">
        <v>1274</v>
      </c>
      <c r="G623" s="38">
        <v>50</v>
      </c>
      <c r="H623" s="46">
        <v>600</v>
      </c>
      <c r="I623" s="38">
        <v>695</v>
      </c>
      <c r="J623" s="38">
        <v>0</v>
      </c>
      <c r="K623" s="39"/>
      <c r="L623" s="39"/>
      <c r="M623" s="39"/>
      <c r="N623" s="39"/>
      <c r="O623" s="39"/>
      <c r="P623" s="39"/>
      <c r="Q623" s="39"/>
      <c r="R623" s="39"/>
      <c r="S623" s="39"/>
      <c r="T623" s="39"/>
    </row>
    <row r="624" spans="1:20" ht="15.75">
      <c r="A624" s="13">
        <v>60145</v>
      </c>
      <c r="B624" s="47">
        <f t="shared" si="0"/>
        <v>31</v>
      </c>
      <c r="C624" s="38">
        <v>194.20500000000001</v>
      </c>
      <c r="D624" s="38">
        <v>267.46600000000001</v>
      </c>
      <c r="E624" s="44">
        <v>812.32899999999995</v>
      </c>
      <c r="F624" s="38">
        <v>1274</v>
      </c>
      <c r="G624" s="38">
        <v>50</v>
      </c>
      <c r="H624" s="46">
        <v>600</v>
      </c>
      <c r="I624" s="38">
        <v>695</v>
      </c>
      <c r="J624" s="38">
        <v>0</v>
      </c>
      <c r="K624" s="39"/>
      <c r="L624" s="39"/>
      <c r="M624" s="39"/>
      <c r="N624" s="39"/>
      <c r="O624" s="39"/>
      <c r="P624" s="39"/>
      <c r="Q624" s="39"/>
      <c r="R624" s="39"/>
      <c r="S624" s="39"/>
      <c r="T624" s="39"/>
    </row>
    <row r="625" spans="1:20" ht="15.75">
      <c r="A625" s="13">
        <v>60175</v>
      </c>
      <c r="B625" s="47">
        <f t="shared" si="0"/>
        <v>30</v>
      </c>
      <c r="C625" s="38">
        <v>194.20500000000001</v>
      </c>
      <c r="D625" s="38">
        <v>267.46600000000001</v>
      </c>
      <c r="E625" s="44">
        <v>812.32899999999995</v>
      </c>
      <c r="F625" s="38">
        <v>1274</v>
      </c>
      <c r="G625" s="38">
        <v>50</v>
      </c>
      <c r="H625" s="46">
        <v>600</v>
      </c>
      <c r="I625" s="38">
        <v>695</v>
      </c>
      <c r="J625" s="38">
        <v>0</v>
      </c>
      <c r="K625" s="39"/>
      <c r="L625" s="39"/>
      <c r="M625" s="39"/>
      <c r="N625" s="39"/>
      <c r="O625" s="39"/>
      <c r="P625" s="39"/>
      <c r="Q625" s="39"/>
      <c r="R625" s="39"/>
      <c r="S625" s="39"/>
      <c r="T625" s="39"/>
    </row>
    <row r="626" spans="1:20" ht="15.75">
      <c r="A626" s="13">
        <v>60206</v>
      </c>
      <c r="B626" s="47">
        <f t="shared" si="0"/>
        <v>31</v>
      </c>
      <c r="C626" s="38">
        <v>131.881</v>
      </c>
      <c r="D626" s="38">
        <v>277.16699999999997</v>
      </c>
      <c r="E626" s="44">
        <v>829.952</v>
      </c>
      <c r="F626" s="38">
        <v>1239</v>
      </c>
      <c r="G626" s="38">
        <v>75</v>
      </c>
      <c r="H626" s="46">
        <v>600</v>
      </c>
      <c r="I626" s="38">
        <v>695</v>
      </c>
      <c r="J626" s="38">
        <v>0</v>
      </c>
      <c r="K626" s="39"/>
      <c r="L626" s="39"/>
      <c r="M626" s="39"/>
      <c r="N626" s="39"/>
      <c r="O626" s="39"/>
      <c r="P626" s="39"/>
      <c r="Q626" s="39"/>
      <c r="R626" s="39"/>
      <c r="S626" s="39"/>
      <c r="T626" s="39"/>
    </row>
    <row r="627" spans="1:20" ht="15.75">
      <c r="A627" s="13">
        <v>60236</v>
      </c>
      <c r="B627" s="47">
        <f t="shared" si="0"/>
        <v>30</v>
      </c>
      <c r="C627" s="38">
        <v>122.58</v>
      </c>
      <c r="D627" s="38">
        <v>297.94099999999997</v>
      </c>
      <c r="E627" s="44">
        <v>729.47900000000004</v>
      </c>
      <c r="F627" s="38">
        <v>1150</v>
      </c>
      <c r="G627" s="38">
        <v>100</v>
      </c>
      <c r="H627" s="46">
        <v>600</v>
      </c>
      <c r="I627" s="38">
        <v>695</v>
      </c>
      <c r="J627" s="38">
        <v>50</v>
      </c>
      <c r="K627" s="39"/>
      <c r="L627" s="39"/>
      <c r="M627" s="39"/>
      <c r="N627" s="39"/>
      <c r="O627" s="39"/>
      <c r="P627" s="39"/>
      <c r="Q627" s="39"/>
      <c r="R627" s="39"/>
      <c r="S627" s="39"/>
      <c r="T627" s="39"/>
    </row>
    <row r="628" spans="1:20" ht="15.75">
      <c r="A628" s="13">
        <v>60267</v>
      </c>
      <c r="B628" s="47">
        <f t="shared" si="0"/>
        <v>31</v>
      </c>
      <c r="C628" s="38">
        <v>122.58</v>
      </c>
      <c r="D628" s="38">
        <v>297.94099999999997</v>
      </c>
      <c r="E628" s="44">
        <v>729.47900000000004</v>
      </c>
      <c r="F628" s="38">
        <v>1150</v>
      </c>
      <c r="G628" s="38">
        <v>100</v>
      </c>
      <c r="H628" s="46">
        <v>600</v>
      </c>
      <c r="I628" s="38">
        <v>695</v>
      </c>
      <c r="J628" s="38">
        <v>50</v>
      </c>
      <c r="K628" s="39"/>
      <c r="L628" s="39"/>
      <c r="M628" s="39"/>
      <c r="N628" s="39"/>
      <c r="O628" s="39"/>
      <c r="P628" s="39"/>
      <c r="Q628" s="39"/>
      <c r="R628" s="39"/>
      <c r="S628" s="39"/>
      <c r="T628" s="39"/>
    </row>
    <row r="629" spans="1:20" ht="15.75">
      <c r="A629" s="13">
        <v>60298</v>
      </c>
      <c r="B629" s="47">
        <f t="shared" si="0"/>
        <v>31</v>
      </c>
      <c r="C629" s="38">
        <v>122.58</v>
      </c>
      <c r="D629" s="38">
        <v>297.94099999999997</v>
      </c>
      <c r="E629" s="44">
        <v>729.47900000000004</v>
      </c>
      <c r="F629" s="38">
        <v>1150</v>
      </c>
      <c r="G629" s="38">
        <v>100</v>
      </c>
      <c r="H629" s="46">
        <v>600</v>
      </c>
      <c r="I629" s="38">
        <v>695</v>
      </c>
      <c r="J629" s="38">
        <v>50</v>
      </c>
      <c r="K629" s="39"/>
      <c r="L629" s="39"/>
      <c r="M629" s="39"/>
      <c r="N629" s="39"/>
      <c r="O629" s="39"/>
      <c r="P629" s="39"/>
      <c r="Q629" s="39"/>
      <c r="R629" s="39"/>
      <c r="S629" s="39"/>
      <c r="T629" s="39"/>
    </row>
    <row r="630" spans="1:20" ht="15.75">
      <c r="A630" s="13">
        <v>60326</v>
      </c>
      <c r="B630" s="47">
        <f t="shared" si="0"/>
        <v>28</v>
      </c>
      <c r="C630" s="38">
        <v>122.58</v>
      </c>
      <c r="D630" s="38">
        <v>297.94099999999997</v>
      </c>
      <c r="E630" s="44">
        <v>729.47900000000004</v>
      </c>
      <c r="F630" s="38">
        <v>1150</v>
      </c>
      <c r="G630" s="38">
        <v>100</v>
      </c>
      <c r="H630" s="46">
        <v>600</v>
      </c>
      <c r="I630" s="38">
        <v>695</v>
      </c>
      <c r="J630" s="38">
        <v>50</v>
      </c>
      <c r="K630" s="39"/>
      <c r="L630" s="39"/>
      <c r="M630" s="39"/>
      <c r="N630" s="39"/>
      <c r="O630" s="39"/>
      <c r="P630" s="39"/>
      <c r="Q630" s="39"/>
      <c r="R630" s="39"/>
      <c r="S630" s="39"/>
      <c r="T630" s="39"/>
    </row>
    <row r="631" spans="1:20" ht="15.75">
      <c r="A631" s="13">
        <v>60357</v>
      </c>
      <c r="B631" s="47">
        <f t="shared" si="0"/>
        <v>31</v>
      </c>
      <c r="C631" s="38">
        <v>122.58</v>
      </c>
      <c r="D631" s="38">
        <v>297.94099999999997</v>
      </c>
      <c r="E631" s="44">
        <v>729.47900000000004</v>
      </c>
      <c r="F631" s="38">
        <v>1150</v>
      </c>
      <c r="G631" s="38">
        <v>100</v>
      </c>
      <c r="H631" s="46">
        <v>600</v>
      </c>
      <c r="I631" s="38">
        <v>695</v>
      </c>
      <c r="J631" s="38">
        <v>50</v>
      </c>
      <c r="K631" s="39"/>
      <c r="L631" s="39"/>
      <c r="M631" s="39"/>
      <c r="N631" s="39"/>
      <c r="O631" s="39"/>
      <c r="P631" s="39"/>
      <c r="Q631" s="39"/>
      <c r="R631" s="39"/>
      <c r="S631" s="39"/>
      <c r="T631" s="39"/>
    </row>
    <row r="632" spans="1:20" ht="15.75">
      <c r="A632" s="13">
        <v>60387</v>
      </c>
      <c r="B632" s="47">
        <f t="shared" si="0"/>
        <v>30</v>
      </c>
      <c r="C632" s="38">
        <v>141.29300000000001</v>
      </c>
      <c r="D632" s="38">
        <v>267.99299999999999</v>
      </c>
      <c r="E632" s="44">
        <v>829.71400000000006</v>
      </c>
      <c r="F632" s="38">
        <v>1239</v>
      </c>
      <c r="G632" s="38">
        <v>100</v>
      </c>
      <c r="H632" s="46">
        <v>600</v>
      </c>
      <c r="I632" s="38">
        <v>695</v>
      </c>
      <c r="J632" s="38">
        <v>50</v>
      </c>
      <c r="K632" s="39"/>
      <c r="L632" s="39"/>
      <c r="M632" s="39"/>
      <c r="N632" s="39"/>
      <c r="O632" s="39"/>
      <c r="P632" s="39"/>
      <c r="Q632" s="39"/>
      <c r="R632" s="39"/>
      <c r="S632" s="39"/>
      <c r="T632" s="39"/>
    </row>
    <row r="633" spans="1:20" ht="15.75">
      <c r="A633" s="13">
        <v>60418</v>
      </c>
      <c r="B633" s="47">
        <f t="shared" si="0"/>
        <v>31</v>
      </c>
      <c r="C633" s="38">
        <v>194.20500000000001</v>
      </c>
      <c r="D633" s="38">
        <v>267.46600000000001</v>
      </c>
      <c r="E633" s="44">
        <v>812.32899999999995</v>
      </c>
      <c r="F633" s="38">
        <v>1274</v>
      </c>
      <c r="G633" s="38">
        <v>75</v>
      </c>
      <c r="H633" s="46">
        <v>600</v>
      </c>
      <c r="I633" s="38">
        <v>695</v>
      </c>
      <c r="J633" s="38">
        <v>50</v>
      </c>
      <c r="K633" s="39"/>
      <c r="L633" s="39"/>
      <c r="M633" s="39"/>
      <c r="N633" s="39"/>
      <c r="O633" s="39"/>
      <c r="P633" s="39"/>
      <c r="Q633" s="39"/>
      <c r="R633" s="39"/>
      <c r="S633" s="39"/>
      <c r="T633" s="39"/>
    </row>
    <row r="634" spans="1:20" ht="15.75">
      <c r="A634" s="13">
        <v>60448</v>
      </c>
      <c r="B634" s="47">
        <f t="shared" si="0"/>
        <v>30</v>
      </c>
      <c r="C634" s="38">
        <v>194.20500000000001</v>
      </c>
      <c r="D634" s="38">
        <v>267.46600000000001</v>
      </c>
      <c r="E634" s="44">
        <v>812.32899999999995</v>
      </c>
      <c r="F634" s="38">
        <v>1274</v>
      </c>
      <c r="G634" s="38">
        <v>50</v>
      </c>
      <c r="H634" s="46">
        <v>600</v>
      </c>
      <c r="I634" s="38">
        <v>695</v>
      </c>
      <c r="J634" s="38">
        <v>50</v>
      </c>
      <c r="K634" s="39"/>
      <c r="L634" s="39"/>
      <c r="M634" s="39"/>
      <c r="N634" s="39"/>
      <c r="O634" s="39"/>
      <c r="P634" s="39"/>
      <c r="Q634" s="39"/>
      <c r="R634" s="39"/>
      <c r="S634" s="39"/>
      <c r="T634" s="39"/>
    </row>
    <row r="635" spans="1:20" ht="15.75">
      <c r="A635" s="13">
        <v>60479</v>
      </c>
      <c r="B635" s="47">
        <f t="shared" si="0"/>
        <v>31</v>
      </c>
      <c r="C635" s="38">
        <v>194.20500000000001</v>
      </c>
      <c r="D635" s="38">
        <v>267.46600000000001</v>
      </c>
      <c r="E635" s="44">
        <v>812.32899999999995</v>
      </c>
      <c r="F635" s="38">
        <v>1274</v>
      </c>
      <c r="G635" s="38">
        <v>50</v>
      </c>
      <c r="H635" s="46">
        <v>600</v>
      </c>
      <c r="I635" s="38">
        <v>695</v>
      </c>
      <c r="J635" s="38">
        <v>0</v>
      </c>
      <c r="K635" s="39"/>
      <c r="L635" s="39"/>
      <c r="M635" s="39"/>
      <c r="N635" s="39"/>
      <c r="O635" s="39"/>
      <c r="P635" s="39"/>
      <c r="Q635" s="39"/>
      <c r="R635" s="39"/>
      <c r="S635" s="39"/>
      <c r="T635" s="39"/>
    </row>
    <row r="636" spans="1:20" ht="15.75">
      <c r="A636" s="13">
        <v>60510</v>
      </c>
      <c r="B636" s="47">
        <f t="shared" si="0"/>
        <v>31</v>
      </c>
      <c r="C636" s="38">
        <v>194.20500000000001</v>
      </c>
      <c r="D636" s="38">
        <v>267.46600000000001</v>
      </c>
      <c r="E636" s="44">
        <v>812.32899999999995</v>
      </c>
      <c r="F636" s="38">
        <v>1274</v>
      </c>
      <c r="G636" s="38">
        <v>50</v>
      </c>
      <c r="H636" s="46">
        <v>600</v>
      </c>
      <c r="I636" s="38">
        <v>695</v>
      </c>
      <c r="J636" s="38">
        <v>0</v>
      </c>
      <c r="K636" s="39"/>
      <c r="L636" s="39"/>
      <c r="M636" s="39"/>
      <c r="N636" s="39"/>
      <c r="O636" s="39"/>
      <c r="P636" s="39"/>
      <c r="Q636" s="39"/>
      <c r="R636" s="39"/>
      <c r="S636" s="39"/>
      <c r="T636" s="39"/>
    </row>
    <row r="637" spans="1:20" ht="15.75">
      <c r="A637" s="13">
        <v>60540</v>
      </c>
      <c r="B637" s="47">
        <f t="shared" si="0"/>
        <v>30</v>
      </c>
      <c r="C637" s="38">
        <v>194.20500000000001</v>
      </c>
      <c r="D637" s="38">
        <v>267.46600000000001</v>
      </c>
      <c r="E637" s="44">
        <v>812.32899999999995</v>
      </c>
      <c r="F637" s="38">
        <v>1274</v>
      </c>
      <c r="G637" s="38">
        <v>50</v>
      </c>
      <c r="H637" s="46">
        <v>600</v>
      </c>
      <c r="I637" s="38">
        <v>695</v>
      </c>
      <c r="J637" s="38">
        <v>0</v>
      </c>
      <c r="K637" s="39"/>
      <c r="L637" s="39"/>
      <c r="M637" s="39"/>
      <c r="N637" s="39"/>
      <c r="O637" s="39"/>
      <c r="P637" s="39"/>
      <c r="Q637" s="39"/>
      <c r="R637" s="39"/>
      <c r="S637" s="39"/>
      <c r="T637" s="39"/>
    </row>
    <row r="638" spans="1:20" ht="15.75">
      <c r="A638" s="13">
        <v>60571</v>
      </c>
      <c r="B638" s="47">
        <f t="shared" si="0"/>
        <v>31</v>
      </c>
      <c r="C638" s="38">
        <v>131.881</v>
      </c>
      <c r="D638" s="38">
        <v>277.16699999999997</v>
      </c>
      <c r="E638" s="44">
        <v>829.952</v>
      </c>
      <c r="F638" s="38">
        <v>1239</v>
      </c>
      <c r="G638" s="38">
        <v>75</v>
      </c>
      <c r="H638" s="46">
        <v>600</v>
      </c>
      <c r="I638" s="38">
        <v>695</v>
      </c>
      <c r="J638" s="38">
        <v>0</v>
      </c>
      <c r="K638" s="39"/>
      <c r="L638" s="39"/>
      <c r="M638" s="39"/>
      <c r="N638" s="39"/>
      <c r="O638" s="39"/>
      <c r="P638" s="39"/>
      <c r="Q638" s="39"/>
      <c r="R638" s="39"/>
      <c r="S638" s="39"/>
      <c r="T638" s="39"/>
    </row>
    <row r="639" spans="1:20" ht="15.75">
      <c r="A639" s="13">
        <v>60601</v>
      </c>
      <c r="B639" s="47">
        <f t="shared" si="0"/>
        <v>30</v>
      </c>
      <c r="C639" s="38">
        <v>122.58</v>
      </c>
      <c r="D639" s="38">
        <v>297.94099999999997</v>
      </c>
      <c r="E639" s="44">
        <v>729.47900000000004</v>
      </c>
      <c r="F639" s="38">
        <v>1150</v>
      </c>
      <c r="G639" s="38">
        <v>100</v>
      </c>
      <c r="H639" s="46">
        <v>600</v>
      </c>
      <c r="I639" s="38">
        <v>695</v>
      </c>
      <c r="J639" s="38">
        <v>50</v>
      </c>
      <c r="K639" s="39"/>
      <c r="L639" s="39"/>
      <c r="M639" s="39"/>
      <c r="N639" s="39"/>
      <c r="O639" s="39"/>
      <c r="P639" s="39"/>
      <c r="Q639" s="39"/>
      <c r="R639" s="39"/>
      <c r="S639" s="39"/>
      <c r="T639" s="39"/>
    </row>
    <row r="640" spans="1:20" ht="15.75">
      <c r="A640" s="13">
        <v>60632</v>
      </c>
      <c r="B640" s="47">
        <f t="shared" si="0"/>
        <v>31</v>
      </c>
      <c r="C640" s="38">
        <v>122.58</v>
      </c>
      <c r="D640" s="38">
        <v>297.94099999999997</v>
      </c>
      <c r="E640" s="44">
        <v>729.47900000000004</v>
      </c>
      <c r="F640" s="38">
        <v>1150</v>
      </c>
      <c r="G640" s="38">
        <v>100</v>
      </c>
      <c r="H640" s="46">
        <v>600</v>
      </c>
      <c r="I640" s="38">
        <v>695</v>
      </c>
      <c r="J640" s="38">
        <v>50</v>
      </c>
      <c r="K640" s="39"/>
      <c r="L640" s="39"/>
      <c r="M640" s="39"/>
      <c r="N640" s="39"/>
      <c r="O640" s="39"/>
      <c r="P640" s="39"/>
      <c r="Q640" s="39"/>
      <c r="R640" s="39"/>
      <c r="S640" s="39"/>
      <c r="T640" s="39"/>
    </row>
    <row r="641" spans="1:20" ht="15.75">
      <c r="A641" s="13">
        <v>60663</v>
      </c>
      <c r="B641" s="47">
        <f t="shared" si="0"/>
        <v>31</v>
      </c>
      <c r="C641" s="38">
        <v>122.58</v>
      </c>
      <c r="D641" s="38">
        <v>297.94099999999997</v>
      </c>
      <c r="E641" s="44">
        <v>729.47900000000004</v>
      </c>
      <c r="F641" s="38">
        <v>1150</v>
      </c>
      <c r="G641" s="38">
        <v>100</v>
      </c>
      <c r="H641" s="46">
        <v>600</v>
      </c>
      <c r="I641" s="38">
        <v>695</v>
      </c>
      <c r="J641" s="38">
        <v>50</v>
      </c>
      <c r="K641" s="39"/>
      <c r="L641" s="39"/>
      <c r="M641" s="39"/>
      <c r="N641" s="39"/>
      <c r="O641" s="39"/>
      <c r="P641" s="39"/>
      <c r="Q641" s="39"/>
      <c r="R641" s="39"/>
      <c r="S641" s="39"/>
      <c r="T641" s="39"/>
    </row>
    <row r="642" spans="1:20" ht="15.75">
      <c r="A642" s="13">
        <v>60691</v>
      </c>
      <c r="B642" s="47">
        <f t="shared" si="0"/>
        <v>28</v>
      </c>
      <c r="C642" s="38">
        <v>122.58</v>
      </c>
      <c r="D642" s="38">
        <v>297.94099999999997</v>
      </c>
      <c r="E642" s="44">
        <v>729.47900000000004</v>
      </c>
      <c r="F642" s="38">
        <v>1150</v>
      </c>
      <c r="G642" s="38">
        <v>100</v>
      </c>
      <c r="H642" s="46">
        <v>600</v>
      </c>
      <c r="I642" s="38">
        <v>695</v>
      </c>
      <c r="J642" s="38">
        <v>50</v>
      </c>
      <c r="K642" s="39"/>
      <c r="L642" s="39"/>
      <c r="M642" s="39"/>
      <c r="N642" s="39"/>
      <c r="O642" s="39"/>
      <c r="P642" s="39"/>
      <c r="Q642" s="39"/>
      <c r="R642" s="39"/>
      <c r="S642" s="39"/>
      <c r="T642" s="39"/>
    </row>
    <row r="643" spans="1:20" ht="15.75">
      <c r="A643" s="13">
        <v>60722</v>
      </c>
      <c r="B643" s="47">
        <f t="shared" si="0"/>
        <v>31</v>
      </c>
      <c r="C643" s="38">
        <v>122.58</v>
      </c>
      <c r="D643" s="38">
        <v>297.94099999999997</v>
      </c>
      <c r="E643" s="44">
        <v>729.47900000000004</v>
      </c>
      <c r="F643" s="38">
        <v>1150</v>
      </c>
      <c r="G643" s="38">
        <v>100</v>
      </c>
      <c r="H643" s="46">
        <v>600</v>
      </c>
      <c r="I643" s="38">
        <v>695</v>
      </c>
      <c r="J643" s="38">
        <v>50</v>
      </c>
      <c r="K643" s="39"/>
      <c r="L643" s="39"/>
      <c r="M643" s="39"/>
      <c r="N643" s="39"/>
      <c r="O643" s="39"/>
      <c r="P643" s="39"/>
      <c r="Q643" s="39"/>
      <c r="R643" s="39"/>
      <c r="S643" s="39"/>
      <c r="T643" s="39"/>
    </row>
    <row r="644" spans="1:20" ht="15.75">
      <c r="A644" s="13">
        <v>60752</v>
      </c>
      <c r="B644" s="47">
        <f t="shared" si="0"/>
        <v>30</v>
      </c>
      <c r="C644" s="38">
        <v>141.29300000000001</v>
      </c>
      <c r="D644" s="38">
        <v>267.99299999999999</v>
      </c>
      <c r="E644" s="44">
        <v>829.71400000000006</v>
      </c>
      <c r="F644" s="38">
        <v>1239</v>
      </c>
      <c r="G644" s="38">
        <v>100</v>
      </c>
      <c r="H644" s="46">
        <v>600</v>
      </c>
      <c r="I644" s="38">
        <v>695</v>
      </c>
      <c r="J644" s="38">
        <v>50</v>
      </c>
      <c r="K644" s="39"/>
      <c r="L644" s="39"/>
      <c r="M644" s="39"/>
      <c r="N644" s="39"/>
      <c r="O644" s="39"/>
      <c r="P644" s="39"/>
      <c r="Q644" s="39"/>
      <c r="R644" s="39"/>
      <c r="S644" s="39"/>
      <c r="T644" s="39"/>
    </row>
    <row r="645" spans="1:20" ht="15.75">
      <c r="A645" s="13">
        <v>60783</v>
      </c>
      <c r="B645" s="47">
        <f t="shared" si="0"/>
        <v>31</v>
      </c>
      <c r="C645" s="38">
        <v>194.20500000000001</v>
      </c>
      <c r="D645" s="38">
        <v>267.46600000000001</v>
      </c>
      <c r="E645" s="44">
        <v>812.32899999999995</v>
      </c>
      <c r="F645" s="38">
        <v>1274</v>
      </c>
      <c r="G645" s="38">
        <v>75</v>
      </c>
      <c r="H645" s="46">
        <v>600</v>
      </c>
      <c r="I645" s="38">
        <v>695</v>
      </c>
      <c r="J645" s="38">
        <v>50</v>
      </c>
      <c r="K645" s="39"/>
      <c r="L645" s="39"/>
      <c r="M645" s="39"/>
      <c r="N645" s="39"/>
      <c r="O645" s="39"/>
      <c r="P645" s="39"/>
      <c r="Q645" s="39"/>
      <c r="R645" s="39"/>
      <c r="S645" s="39"/>
      <c r="T645" s="39"/>
    </row>
    <row r="646" spans="1:20" ht="15.75">
      <c r="A646" s="13">
        <v>60813</v>
      </c>
      <c r="B646" s="47">
        <f t="shared" si="0"/>
        <v>30</v>
      </c>
      <c r="C646" s="38">
        <v>194.20500000000001</v>
      </c>
      <c r="D646" s="38">
        <v>267.46600000000001</v>
      </c>
      <c r="E646" s="44">
        <v>812.32899999999995</v>
      </c>
      <c r="F646" s="38">
        <v>1274</v>
      </c>
      <c r="G646" s="38">
        <v>50</v>
      </c>
      <c r="H646" s="46">
        <v>600</v>
      </c>
      <c r="I646" s="38">
        <v>695</v>
      </c>
      <c r="J646" s="38">
        <v>50</v>
      </c>
      <c r="K646" s="39"/>
      <c r="L646" s="39"/>
      <c r="M646" s="39"/>
      <c r="N646" s="39"/>
      <c r="O646" s="39"/>
      <c r="P646" s="39"/>
      <c r="Q646" s="39"/>
      <c r="R646" s="39"/>
      <c r="S646" s="39"/>
      <c r="T646" s="39"/>
    </row>
    <row r="647" spans="1:20" ht="15.75">
      <c r="A647" s="13">
        <v>60844</v>
      </c>
      <c r="B647" s="47">
        <f t="shared" si="0"/>
        <v>31</v>
      </c>
      <c r="C647" s="38">
        <v>194.20500000000001</v>
      </c>
      <c r="D647" s="38">
        <v>267.46600000000001</v>
      </c>
      <c r="E647" s="44">
        <v>812.32899999999995</v>
      </c>
      <c r="F647" s="38">
        <v>1274</v>
      </c>
      <c r="G647" s="38">
        <v>50</v>
      </c>
      <c r="H647" s="46">
        <v>600</v>
      </c>
      <c r="I647" s="38">
        <v>695</v>
      </c>
      <c r="J647" s="38">
        <v>0</v>
      </c>
      <c r="K647" s="39"/>
      <c r="L647" s="39"/>
      <c r="M647" s="39"/>
      <c r="N647" s="39"/>
      <c r="O647" s="39"/>
      <c r="P647" s="39"/>
      <c r="Q647" s="39"/>
      <c r="R647" s="39"/>
      <c r="S647" s="39"/>
      <c r="T647" s="39"/>
    </row>
    <row r="648" spans="1:20" ht="15.75">
      <c r="A648" s="13">
        <v>60875</v>
      </c>
      <c r="B648" s="47">
        <f t="shared" si="0"/>
        <v>31</v>
      </c>
      <c r="C648" s="38">
        <v>194.20500000000001</v>
      </c>
      <c r="D648" s="38">
        <v>267.46600000000001</v>
      </c>
      <c r="E648" s="44">
        <v>812.32899999999995</v>
      </c>
      <c r="F648" s="38">
        <v>1274</v>
      </c>
      <c r="G648" s="38">
        <v>50</v>
      </c>
      <c r="H648" s="46">
        <v>600</v>
      </c>
      <c r="I648" s="38">
        <v>695</v>
      </c>
      <c r="J648" s="38">
        <v>0</v>
      </c>
      <c r="K648" s="39"/>
      <c r="L648" s="39"/>
      <c r="M648" s="39"/>
      <c r="N648" s="39"/>
      <c r="O648" s="39"/>
      <c r="P648" s="39"/>
      <c r="Q648" s="39"/>
      <c r="R648" s="39"/>
      <c r="S648" s="39"/>
      <c r="T648" s="39"/>
    </row>
    <row r="649" spans="1:20" ht="15.75">
      <c r="A649" s="13">
        <v>60905</v>
      </c>
      <c r="B649" s="47">
        <f t="shared" si="0"/>
        <v>30</v>
      </c>
      <c r="C649" s="38">
        <v>194.20500000000001</v>
      </c>
      <c r="D649" s="38">
        <v>267.46600000000001</v>
      </c>
      <c r="E649" s="44">
        <v>812.32899999999995</v>
      </c>
      <c r="F649" s="38">
        <v>1274</v>
      </c>
      <c r="G649" s="38">
        <v>50</v>
      </c>
      <c r="H649" s="46">
        <v>600</v>
      </c>
      <c r="I649" s="38">
        <v>695</v>
      </c>
      <c r="J649" s="38">
        <v>0</v>
      </c>
      <c r="K649" s="39"/>
      <c r="L649" s="39"/>
      <c r="M649" s="39"/>
      <c r="N649" s="39"/>
      <c r="O649" s="39"/>
      <c r="P649" s="39"/>
      <c r="Q649" s="39"/>
      <c r="R649" s="39"/>
      <c r="S649" s="39"/>
      <c r="T649" s="39"/>
    </row>
    <row r="650" spans="1:20" ht="15.75">
      <c r="A650" s="13">
        <v>60936</v>
      </c>
      <c r="B650" s="47">
        <f t="shared" si="0"/>
        <v>31</v>
      </c>
      <c r="C650" s="38">
        <v>131.881</v>
      </c>
      <c r="D650" s="38">
        <v>277.16699999999997</v>
      </c>
      <c r="E650" s="44">
        <v>829.952</v>
      </c>
      <c r="F650" s="38">
        <v>1239</v>
      </c>
      <c r="G650" s="38">
        <v>75</v>
      </c>
      <c r="H650" s="46">
        <v>600</v>
      </c>
      <c r="I650" s="38">
        <v>695</v>
      </c>
      <c r="J650" s="38">
        <v>0</v>
      </c>
      <c r="K650" s="39"/>
      <c r="L650" s="39"/>
      <c r="M650" s="39"/>
      <c r="N650" s="39"/>
      <c r="O650" s="39"/>
      <c r="P650" s="39"/>
      <c r="Q650" s="39"/>
      <c r="R650" s="39"/>
      <c r="S650" s="39"/>
      <c r="T650" s="39"/>
    </row>
    <row r="651" spans="1:20" ht="15.75">
      <c r="A651" s="13">
        <v>60966</v>
      </c>
      <c r="B651" s="47">
        <f t="shared" si="0"/>
        <v>30</v>
      </c>
      <c r="C651" s="38">
        <v>122.58</v>
      </c>
      <c r="D651" s="38">
        <v>297.94099999999997</v>
      </c>
      <c r="E651" s="44">
        <v>729.47900000000004</v>
      </c>
      <c r="F651" s="38">
        <v>1150</v>
      </c>
      <c r="G651" s="38">
        <v>100</v>
      </c>
      <c r="H651" s="46">
        <v>600</v>
      </c>
      <c r="I651" s="38">
        <v>695</v>
      </c>
      <c r="J651" s="38">
        <v>50</v>
      </c>
      <c r="K651" s="39"/>
      <c r="L651" s="39"/>
      <c r="M651" s="39"/>
      <c r="N651" s="39"/>
      <c r="O651" s="39"/>
      <c r="P651" s="39"/>
      <c r="Q651" s="39"/>
      <c r="R651" s="39"/>
      <c r="S651" s="39"/>
      <c r="T651" s="39"/>
    </row>
    <row r="652" spans="1:20" ht="15.75">
      <c r="A652" s="13">
        <v>60997</v>
      </c>
      <c r="B652" s="47">
        <f t="shared" si="0"/>
        <v>31</v>
      </c>
      <c r="C652" s="38">
        <v>122.58</v>
      </c>
      <c r="D652" s="38">
        <v>297.94099999999997</v>
      </c>
      <c r="E652" s="44">
        <v>729.47900000000004</v>
      </c>
      <c r="F652" s="38">
        <v>1150</v>
      </c>
      <c r="G652" s="38">
        <v>100</v>
      </c>
      <c r="H652" s="46">
        <v>600</v>
      </c>
      <c r="I652" s="38">
        <v>695</v>
      </c>
      <c r="J652" s="38">
        <v>50</v>
      </c>
      <c r="K652" s="39"/>
      <c r="L652" s="39"/>
      <c r="M652" s="39"/>
      <c r="N652" s="39"/>
      <c r="O652" s="39"/>
      <c r="P652" s="39"/>
      <c r="Q652" s="39"/>
      <c r="R652" s="39"/>
      <c r="S652" s="39"/>
      <c r="T652" s="39"/>
    </row>
    <row r="653" spans="1:20" ht="15.75">
      <c r="A653" s="13">
        <v>61028</v>
      </c>
      <c r="B653" s="47">
        <f t="shared" si="0"/>
        <v>31</v>
      </c>
      <c r="C653" s="38">
        <v>122.58</v>
      </c>
      <c r="D653" s="38">
        <v>297.94099999999997</v>
      </c>
      <c r="E653" s="44">
        <v>729.47900000000004</v>
      </c>
      <c r="F653" s="38">
        <v>1150</v>
      </c>
      <c r="G653" s="38">
        <v>100</v>
      </c>
      <c r="H653" s="46">
        <v>600</v>
      </c>
      <c r="I653" s="38">
        <v>695</v>
      </c>
      <c r="J653" s="38">
        <v>50</v>
      </c>
      <c r="K653" s="39"/>
      <c r="L653" s="39"/>
      <c r="M653" s="39"/>
      <c r="N653" s="39"/>
      <c r="O653" s="39"/>
      <c r="P653" s="39"/>
      <c r="Q653" s="39"/>
      <c r="R653" s="39"/>
      <c r="S653" s="39"/>
      <c r="T653" s="39"/>
    </row>
    <row r="654" spans="1:20" ht="15.75">
      <c r="A654" s="13">
        <v>61056</v>
      </c>
      <c r="B654" s="47">
        <f t="shared" si="0"/>
        <v>28</v>
      </c>
      <c r="C654" s="38">
        <v>122.58</v>
      </c>
      <c r="D654" s="38">
        <v>297.94099999999997</v>
      </c>
      <c r="E654" s="44">
        <v>729.47900000000004</v>
      </c>
      <c r="F654" s="38">
        <v>1150</v>
      </c>
      <c r="G654" s="38">
        <v>100</v>
      </c>
      <c r="H654" s="46">
        <v>600</v>
      </c>
      <c r="I654" s="38">
        <v>695</v>
      </c>
      <c r="J654" s="38">
        <v>50</v>
      </c>
      <c r="K654" s="39"/>
      <c r="L654" s="39"/>
      <c r="M654" s="39"/>
      <c r="N654" s="39"/>
      <c r="O654" s="39"/>
      <c r="P654" s="39"/>
      <c r="Q654" s="39"/>
      <c r="R654" s="39"/>
      <c r="S654" s="39"/>
      <c r="T654" s="39"/>
    </row>
    <row r="655" spans="1:20" ht="15.75">
      <c r="A655" s="13">
        <v>61087</v>
      </c>
      <c r="B655" s="47">
        <f t="shared" si="0"/>
        <v>31</v>
      </c>
      <c r="C655" s="38">
        <v>122.58</v>
      </c>
      <c r="D655" s="38">
        <v>297.94099999999997</v>
      </c>
      <c r="E655" s="44">
        <v>729.47900000000004</v>
      </c>
      <c r="F655" s="38">
        <v>1150</v>
      </c>
      <c r="G655" s="38">
        <v>100</v>
      </c>
      <c r="H655" s="46">
        <v>600</v>
      </c>
      <c r="I655" s="38">
        <v>695</v>
      </c>
      <c r="J655" s="38">
        <v>50</v>
      </c>
      <c r="K655" s="39"/>
      <c r="L655" s="39"/>
      <c r="M655" s="39"/>
      <c r="N655" s="39"/>
      <c r="O655" s="39"/>
      <c r="P655" s="39"/>
      <c r="Q655" s="39"/>
      <c r="R655" s="39"/>
      <c r="S655" s="39"/>
      <c r="T655" s="39"/>
    </row>
    <row r="656" spans="1:20" ht="15.75">
      <c r="A656" s="13">
        <v>61117</v>
      </c>
      <c r="B656" s="47">
        <f t="shared" si="0"/>
        <v>30</v>
      </c>
      <c r="C656" s="38">
        <v>141.29300000000001</v>
      </c>
      <c r="D656" s="38">
        <v>267.99299999999999</v>
      </c>
      <c r="E656" s="44">
        <v>829.71400000000006</v>
      </c>
      <c r="F656" s="38">
        <v>1239</v>
      </c>
      <c r="G656" s="38">
        <v>100</v>
      </c>
      <c r="H656" s="46">
        <v>600</v>
      </c>
      <c r="I656" s="38">
        <v>695</v>
      </c>
      <c r="J656" s="38">
        <v>50</v>
      </c>
      <c r="K656" s="39"/>
      <c r="L656" s="39"/>
      <c r="M656" s="39"/>
      <c r="N656" s="39"/>
      <c r="O656" s="39"/>
      <c r="P656" s="39"/>
      <c r="Q656" s="39"/>
      <c r="R656" s="39"/>
      <c r="S656" s="39"/>
      <c r="T656" s="39"/>
    </row>
    <row r="657" spans="1:20" ht="15.75">
      <c r="A657" s="13">
        <v>61148</v>
      </c>
      <c r="B657" s="47">
        <f t="shared" ref="B657:B720" si="1">EOMONTH(A657,0)-EOMONTH(A657,-1)</f>
        <v>31</v>
      </c>
      <c r="C657" s="38">
        <v>194.20500000000001</v>
      </c>
      <c r="D657" s="38">
        <v>267.46600000000001</v>
      </c>
      <c r="E657" s="44">
        <v>812.32899999999995</v>
      </c>
      <c r="F657" s="38">
        <v>1274</v>
      </c>
      <c r="G657" s="38">
        <v>75</v>
      </c>
      <c r="H657" s="46">
        <v>600</v>
      </c>
      <c r="I657" s="38">
        <v>695</v>
      </c>
      <c r="J657" s="38">
        <v>50</v>
      </c>
      <c r="K657" s="39"/>
      <c r="L657" s="39"/>
      <c r="M657" s="39"/>
      <c r="N657" s="39"/>
      <c r="O657" s="39"/>
      <c r="P657" s="39"/>
      <c r="Q657" s="39"/>
      <c r="R657" s="39"/>
      <c r="S657" s="39"/>
      <c r="T657" s="39"/>
    </row>
    <row r="658" spans="1:20" ht="15.75">
      <c r="A658" s="13">
        <v>61178</v>
      </c>
      <c r="B658" s="47">
        <f t="shared" si="1"/>
        <v>30</v>
      </c>
      <c r="C658" s="38">
        <v>194.20500000000001</v>
      </c>
      <c r="D658" s="38">
        <v>267.46600000000001</v>
      </c>
      <c r="E658" s="44">
        <v>812.32899999999995</v>
      </c>
      <c r="F658" s="38">
        <v>1274</v>
      </c>
      <c r="G658" s="38">
        <v>50</v>
      </c>
      <c r="H658" s="46">
        <v>600</v>
      </c>
      <c r="I658" s="38">
        <v>695</v>
      </c>
      <c r="J658" s="38">
        <v>50</v>
      </c>
      <c r="K658" s="39"/>
      <c r="L658" s="39"/>
      <c r="M658" s="39"/>
      <c r="N658" s="39"/>
      <c r="O658" s="39"/>
      <c r="P658" s="39"/>
      <c r="Q658" s="39"/>
      <c r="R658" s="39"/>
      <c r="S658" s="39"/>
      <c r="T658" s="39"/>
    </row>
    <row r="659" spans="1:20" ht="15.75">
      <c r="A659" s="13">
        <v>61209</v>
      </c>
      <c r="B659" s="47">
        <f t="shared" si="1"/>
        <v>31</v>
      </c>
      <c r="C659" s="38">
        <v>194.20500000000001</v>
      </c>
      <c r="D659" s="38">
        <v>267.46600000000001</v>
      </c>
      <c r="E659" s="44">
        <v>812.32899999999995</v>
      </c>
      <c r="F659" s="38">
        <v>1274</v>
      </c>
      <c r="G659" s="38">
        <v>50</v>
      </c>
      <c r="H659" s="46">
        <v>600</v>
      </c>
      <c r="I659" s="38">
        <v>695</v>
      </c>
      <c r="J659" s="38">
        <v>0</v>
      </c>
      <c r="K659" s="39"/>
      <c r="L659" s="39"/>
      <c r="M659" s="39"/>
      <c r="N659" s="39"/>
      <c r="O659" s="39"/>
      <c r="P659" s="39"/>
      <c r="Q659" s="39"/>
      <c r="R659" s="39"/>
      <c r="S659" s="39"/>
      <c r="T659" s="39"/>
    </row>
    <row r="660" spans="1:20" ht="15.75">
      <c r="A660" s="13">
        <v>61240</v>
      </c>
      <c r="B660" s="47">
        <f t="shared" si="1"/>
        <v>31</v>
      </c>
      <c r="C660" s="38">
        <v>194.20500000000001</v>
      </c>
      <c r="D660" s="38">
        <v>267.46600000000001</v>
      </c>
      <c r="E660" s="44">
        <v>812.32899999999995</v>
      </c>
      <c r="F660" s="38">
        <v>1274</v>
      </c>
      <c r="G660" s="38">
        <v>50</v>
      </c>
      <c r="H660" s="46">
        <v>600</v>
      </c>
      <c r="I660" s="38">
        <v>695</v>
      </c>
      <c r="J660" s="38">
        <v>0</v>
      </c>
      <c r="K660" s="39"/>
      <c r="L660" s="39"/>
      <c r="M660" s="39"/>
      <c r="N660" s="39"/>
      <c r="O660" s="39"/>
      <c r="P660" s="39"/>
      <c r="Q660" s="39"/>
      <c r="R660" s="39"/>
      <c r="S660" s="39"/>
      <c r="T660" s="39"/>
    </row>
    <row r="661" spans="1:20" ht="15.75">
      <c r="A661" s="13">
        <v>61270</v>
      </c>
      <c r="B661" s="47">
        <f t="shared" si="1"/>
        <v>30</v>
      </c>
      <c r="C661" s="38">
        <v>194.20500000000001</v>
      </c>
      <c r="D661" s="38">
        <v>267.46600000000001</v>
      </c>
      <c r="E661" s="44">
        <v>812.32899999999995</v>
      </c>
      <c r="F661" s="38">
        <v>1274</v>
      </c>
      <c r="G661" s="38">
        <v>50</v>
      </c>
      <c r="H661" s="46">
        <v>600</v>
      </c>
      <c r="I661" s="38">
        <v>695</v>
      </c>
      <c r="J661" s="38">
        <v>0</v>
      </c>
      <c r="K661" s="39"/>
      <c r="L661" s="39"/>
      <c r="M661" s="39"/>
      <c r="N661" s="39"/>
      <c r="O661" s="39"/>
      <c r="P661" s="39"/>
      <c r="Q661" s="39"/>
      <c r="R661" s="39"/>
      <c r="S661" s="39"/>
      <c r="T661" s="39"/>
    </row>
    <row r="662" spans="1:20" ht="15.75">
      <c r="A662" s="13">
        <v>61301</v>
      </c>
      <c r="B662" s="47">
        <f t="shared" si="1"/>
        <v>31</v>
      </c>
      <c r="C662" s="38">
        <v>131.881</v>
      </c>
      <c r="D662" s="38">
        <v>277.16699999999997</v>
      </c>
      <c r="E662" s="44">
        <v>829.952</v>
      </c>
      <c r="F662" s="38">
        <v>1239</v>
      </c>
      <c r="G662" s="38">
        <v>75</v>
      </c>
      <c r="H662" s="46">
        <v>600</v>
      </c>
      <c r="I662" s="38">
        <v>695</v>
      </c>
      <c r="J662" s="38">
        <v>0</v>
      </c>
      <c r="K662" s="39"/>
      <c r="L662" s="39"/>
      <c r="M662" s="39"/>
      <c r="N662" s="39"/>
      <c r="O662" s="39"/>
      <c r="P662" s="39"/>
      <c r="Q662" s="39"/>
      <c r="R662" s="39"/>
      <c r="S662" s="39"/>
      <c r="T662" s="39"/>
    </row>
    <row r="663" spans="1:20" ht="15.75">
      <c r="A663" s="13">
        <v>61331</v>
      </c>
      <c r="B663" s="47">
        <f t="shared" si="1"/>
        <v>30</v>
      </c>
      <c r="C663" s="38">
        <v>122.58</v>
      </c>
      <c r="D663" s="38">
        <v>297.94099999999997</v>
      </c>
      <c r="E663" s="44">
        <v>729.47900000000004</v>
      </c>
      <c r="F663" s="38">
        <v>1150</v>
      </c>
      <c r="G663" s="38">
        <v>100</v>
      </c>
      <c r="H663" s="46">
        <v>600</v>
      </c>
      <c r="I663" s="38">
        <v>695</v>
      </c>
      <c r="J663" s="38">
        <v>50</v>
      </c>
      <c r="K663" s="39"/>
      <c r="L663" s="39"/>
      <c r="M663" s="39"/>
      <c r="N663" s="39"/>
      <c r="O663" s="39"/>
      <c r="P663" s="39"/>
      <c r="Q663" s="39"/>
      <c r="R663" s="39"/>
      <c r="S663" s="39"/>
      <c r="T663" s="39"/>
    </row>
    <row r="664" spans="1:20" ht="15.75">
      <c r="A664" s="13">
        <v>61362</v>
      </c>
      <c r="B664" s="47">
        <f t="shared" si="1"/>
        <v>31</v>
      </c>
      <c r="C664" s="38">
        <v>122.58</v>
      </c>
      <c r="D664" s="38">
        <v>297.94099999999997</v>
      </c>
      <c r="E664" s="44">
        <v>729.47900000000004</v>
      </c>
      <c r="F664" s="38">
        <v>1150</v>
      </c>
      <c r="G664" s="38">
        <v>100</v>
      </c>
      <c r="H664" s="46">
        <v>600</v>
      </c>
      <c r="I664" s="38">
        <v>695</v>
      </c>
      <c r="J664" s="38">
        <v>50</v>
      </c>
      <c r="K664" s="39"/>
      <c r="L664" s="39"/>
      <c r="M664" s="39"/>
      <c r="N664" s="39"/>
      <c r="O664" s="39"/>
      <c r="P664" s="39"/>
      <c r="Q664" s="39"/>
      <c r="R664" s="39"/>
      <c r="S664" s="39"/>
      <c r="T664" s="39"/>
    </row>
    <row r="665" spans="1:20" ht="15.75">
      <c r="A665" s="13">
        <v>61393</v>
      </c>
      <c r="B665" s="47">
        <f t="shared" si="1"/>
        <v>31</v>
      </c>
      <c r="C665" s="38">
        <v>122.58</v>
      </c>
      <c r="D665" s="38">
        <v>297.94099999999997</v>
      </c>
      <c r="E665" s="44">
        <v>729.47900000000004</v>
      </c>
      <c r="F665" s="38">
        <v>1150</v>
      </c>
      <c r="G665" s="38">
        <v>100</v>
      </c>
      <c r="H665" s="46">
        <v>600</v>
      </c>
      <c r="I665" s="38">
        <v>695</v>
      </c>
      <c r="J665" s="38">
        <v>50</v>
      </c>
      <c r="K665" s="39"/>
      <c r="L665" s="39"/>
      <c r="M665" s="39"/>
      <c r="N665" s="39"/>
      <c r="O665" s="39"/>
      <c r="P665" s="39"/>
      <c r="Q665" s="39"/>
      <c r="R665" s="39"/>
      <c r="S665" s="39"/>
      <c r="T665" s="39"/>
    </row>
    <row r="666" spans="1:20" ht="15.75">
      <c r="A666" s="13">
        <v>61422</v>
      </c>
      <c r="B666" s="47">
        <f t="shared" si="1"/>
        <v>29</v>
      </c>
      <c r="C666" s="38">
        <v>122.58</v>
      </c>
      <c r="D666" s="38">
        <v>297.94099999999997</v>
      </c>
      <c r="E666" s="44">
        <v>729.47900000000004</v>
      </c>
      <c r="F666" s="38">
        <v>1150</v>
      </c>
      <c r="G666" s="38">
        <v>100</v>
      </c>
      <c r="H666" s="46">
        <v>600</v>
      </c>
      <c r="I666" s="38">
        <v>695</v>
      </c>
      <c r="J666" s="38">
        <v>50</v>
      </c>
      <c r="K666" s="39"/>
      <c r="L666" s="39"/>
      <c r="M666" s="39"/>
      <c r="N666" s="39"/>
      <c r="O666" s="39"/>
      <c r="P666" s="39"/>
      <c r="Q666" s="39"/>
      <c r="R666" s="39"/>
      <c r="S666" s="39"/>
      <c r="T666" s="39"/>
    </row>
    <row r="667" spans="1:20" ht="15.75">
      <c r="A667" s="13">
        <v>61453</v>
      </c>
      <c r="B667" s="47">
        <f t="shared" si="1"/>
        <v>31</v>
      </c>
      <c r="C667" s="38">
        <v>122.58</v>
      </c>
      <c r="D667" s="38">
        <v>297.94099999999997</v>
      </c>
      <c r="E667" s="44">
        <v>729.47900000000004</v>
      </c>
      <c r="F667" s="38">
        <v>1150</v>
      </c>
      <c r="G667" s="38">
        <v>100</v>
      </c>
      <c r="H667" s="46">
        <v>600</v>
      </c>
      <c r="I667" s="38">
        <v>695</v>
      </c>
      <c r="J667" s="38">
        <v>50</v>
      </c>
      <c r="K667" s="39"/>
      <c r="L667" s="39"/>
      <c r="M667" s="39"/>
      <c r="N667" s="39"/>
      <c r="O667" s="39"/>
      <c r="P667" s="39"/>
      <c r="Q667" s="39"/>
      <c r="R667" s="39"/>
      <c r="S667" s="39"/>
      <c r="T667" s="39"/>
    </row>
    <row r="668" spans="1:20" ht="15.75">
      <c r="A668" s="13">
        <v>61483</v>
      </c>
      <c r="B668" s="47">
        <f t="shared" si="1"/>
        <v>30</v>
      </c>
      <c r="C668" s="38">
        <v>141.29300000000001</v>
      </c>
      <c r="D668" s="38">
        <v>267.99299999999999</v>
      </c>
      <c r="E668" s="44">
        <v>829.71400000000006</v>
      </c>
      <c r="F668" s="38">
        <v>1239</v>
      </c>
      <c r="G668" s="38">
        <v>100</v>
      </c>
      <c r="H668" s="46">
        <v>600</v>
      </c>
      <c r="I668" s="38">
        <v>695</v>
      </c>
      <c r="J668" s="38">
        <v>50</v>
      </c>
      <c r="K668" s="39"/>
      <c r="L668" s="39"/>
      <c r="M668" s="39"/>
      <c r="N668" s="39"/>
      <c r="O668" s="39"/>
      <c r="P668" s="39"/>
      <c r="Q668" s="39"/>
      <c r="R668" s="39"/>
      <c r="S668" s="39"/>
      <c r="T668" s="39"/>
    </row>
    <row r="669" spans="1:20" ht="15.75">
      <c r="A669" s="13">
        <v>61514</v>
      </c>
      <c r="B669" s="47">
        <f t="shared" si="1"/>
        <v>31</v>
      </c>
      <c r="C669" s="38">
        <v>194.20500000000001</v>
      </c>
      <c r="D669" s="38">
        <v>267.46600000000001</v>
      </c>
      <c r="E669" s="44">
        <v>812.32899999999995</v>
      </c>
      <c r="F669" s="38">
        <v>1274</v>
      </c>
      <c r="G669" s="38">
        <v>75</v>
      </c>
      <c r="H669" s="46">
        <v>600</v>
      </c>
      <c r="I669" s="38">
        <v>695</v>
      </c>
      <c r="J669" s="38">
        <v>50</v>
      </c>
      <c r="K669" s="39"/>
      <c r="L669" s="39"/>
      <c r="M669" s="39"/>
      <c r="N669" s="39"/>
      <c r="O669" s="39"/>
      <c r="P669" s="39"/>
      <c r="Q669" s="39"/>
      <c r="R669" s="39"/>
      <c r="S669" s="39"/>
      <c r="T669" s="39"/>
    </row>
    <row r="670" spans="1:20" ht="15.75">
      <c r="A670" s="13">
        <v>61544</v>
      </c>
      <c r="B670" s="47">
        <f t="shared" si="1"/>
        <v>30</v>
      </c>
      <c r="C670" s="38">
        <v>194.20500000000001</v>
      </c>
      <c r="D670" s="38">
        <v>267.46600000000001</v>
      </c>
      <c r="E670" s="44">
        <v>812.32899999999995</v>
      </c>
      <c r="F670" s="38">
        <v>1274</v>
      </c>
      <c r="G670" s="38">
        <v>50</v>
      </c>
      <c r="H670" s="46">
        <v>600</v>
      </c>
      <c r="I670" s="38">
        <v>695</v>
      </c>
      <c r="J670" s="38">
        <v>50</v>
      </c>
      <c r="K670" s="39"/>
      <c r="L670" s="39"/>
      <c r="M670" s="39"/>
      <c r="N670" s="39"/>
      <c r="O670" s="39"/>
      <c r="P670" s="39"/>
      <c r="Q670" s="39"/>
      <c r="R670" s="39"/>
      <c r="S670" s="39"/>
      <c r="T670" s="39"/>
    </row>
    <row r="671" spans="1:20" ht="15.75">
      <c r="A671" s="13">
        <v>61575</v>
      </c>
      <c r="B671" s="47">
        <f t="shared" si="1"/>
        <v>31</v>
      </c>
      <c r="C671" s="38">
        <v>194.20500000000001</v>
      </c>
      <c r="D671" s="38">
        <v>267.46600000000001</v>
      </c>
      <c r="E671" s="44">
        <v>812.32899999999995</v>
      </c>
      <c r="F671" s="38">
        <v>1274</v>
      </c>
      <c r="G671" s="38">
        <v>50</v>
      </c>
      <c r="H671" s="46">
        <v>600</v>
      </c>
      <c r="I671" s="38">
        <v>695</v>
      </c>
      <c r="J671" s="38">
        <v>0</v>
      </c>
      <c r="K671" s="39"/>
      <c r="L671" s="39"/>
      <c r="M671" s="39"/>
      <c r="N671" s="39"/>
      <c r="O671" s="39"/>
      <c r="P671" s="39"/>
      <c r="Q671" s="39"/>
      <c r="R671" s="39"/>
      <c r="S671" s="39"/>
      <c r="T671" s="39"/>
    </row>
    <row r="672" spans="1:20" ht="15.75">
      <c r="A672" s="13">
        <v>61606</v>
      </c>
      <c r="B672" s="47">
        <f t="shared" si="1"/>
        <v>31</v>
      </c>
      <c r="C672" s="38">
        <v>194.20500000000001</v>
      </c>
      <c r="D672" s="38">
        <v>267.46600000000001</v>
      </c>
      <c r="E672" s="44">
        <v>812.32899999999995</v>
      </c>
      <c r="F672" s="38">
        <v>1274</v>
      </c>
      <c r="G672" s="38">
        <v>50</v>
      </c>
      <c r="H672" s="46">
        <v>600</v>
      </c>
      <c r="I672" s="38">
        <v>695</v>
      </c>
      <c r="J672" s="38">
        <v>0</v>
      </c>
      <c r="K672" s="39"/>
      <c r="L672" s="39"/>
      <c r="M672" s="39"/>
      <c r="N672" s="39"/>
      <c r="O672" s="39"/>
      <c r="P672" s="39"/>
      <c r="Q672" s="39"/>
      <c r="R672" s="39"/>
      <c r="S672" s="39"/>
      <c r="T672" s="39"/>
    </row>
    <row r="673" spans="1:20" ht="15.75">
      <c r="A673" s="13">
        <v>61636</v>
      </c>
      <c r="B673" s="47">
        <f t="shared" si="1"/>
        <v>30</v>
      </c>
      <c r="C673" s="38">
        <v>194.20500000000001</v>
      </c>
      <c r="D673" s="38">
        <v>267.46600000000001</v>
      </c>
      <c r="E673" s="44">
        <v>812.32899999999995</v>
      </c>
      <c r="F673" s="38">
        <v>1274</v>
      </c>
      <c r="G673" s="38">
        <v>50</v>
      </c>
      <c r="H673" s="46">
        <v>600</v>
      </c>
      <c r="I673" s="38">
        <v>695</v>
      </c>
      <c r="J673" s="38">
        <v>0</v>
      </c>
      <c r="K673" s="39"/>
      <c r="L673" s="39"/>
      <c r="M673" s="39"/>
      <c r="N673" s="39"/>
      <c r="O673" s="39"/>
      <c r="P673" s="39"/>
      <c r="Q673" s="39"/>
      <c r="R673" s="39"/>
      <c r="S673" s="39"/>
      <c r="T673" s="39"/>
    </row>
    <row r="674" spans="1:20" ht="15.75">
      <c r="A674" s="13">
        <v>61667</v>
      </c>
      <c r="B674" s="47">
        <f t="shared" si="1"/>
        <v>31</v>
      </c>
      <c r="C674" s="38">
        <v>131.881</v>
      </c>
      <c r="D674" s="38">
        <v>277.16699999999997</v>
      </c>
      <c r="E674" s="44">
        <v>829.952</v>
      </c>
      <c r="F674" s="38">
        <v>1239</v>
      </c>
      <c r="G674" s="38">
        <v>75</v>
      </c>
      <c r="H674" s="46">
        <v>600</v>
      </c>
      <c r="I674" s="38">
        <v>695</v>
      </c>
      <c r="J674" s="38">
        <v>0</v>
      </c>
      <c r="K674" s="39"/>
      <c r="L674" s="39"/>
      <c r="M674" s="39"/>
      <c r="N674" s="39"/>
      <c r="O674" s="39"/>
      <c r="P674" s="39"/>
      <c r="Q674" s="39"/>
      <c r="R674" s="39"/>
      <c r="S674" s="39"/>
      <c r="T674" s="39"/>
    </row>
    <row r="675" spans="1:20" ht="15.75">
      <c r="A675" s="13">
        <v>61697</v>
      </c>
      <c r="B675" s="47">
        <f t="shared" si="1"/>
        <v>30</v>
      </c>
      <c r="C675" s="38">
        <v>122.58</v>
      </c>
      <c r="D675" s="38">
        <v>297.94099999999997</v>
      </c>
      <c r="E675" s="44">
        <v>729.47900000000004</v>
      </c>
      <c r="F675" s="38">
        <v>1150</v>
      </c>
      <c r="G675" s="38">
        <v>100</v>
      </c>
      <c r="H675" s="46">
        <v>600</v>
      </c>
      <c r="I675" s="38">
        <v>695</v>
      </c>
      <c r="J675" s="38">
        <v>50</v>
      </c>
      <c r="K675" s="39"/>
      <c r="L675" s="39"/>
      <c r="M675" s="39"/>
      <c r="N675" s="39"/>
      <c r="O675" s="39"/>
      <c r="P675" s="39"/>
      <c r="Q675" s="39"/>
      <c r="R675" s="39"/>
      <c r="S675" s="39"/>
      <c r="T675" s="39"/>
    </row>
    <row r="676" spans="1:20" ht="15.75">
      <c r="A676" s="13">
        <v>61728</v>
      </c>
      <c r="B676" s="47">
        <f t="shared" si="1"/>
        <v>31</v>
      </c>
      <c r="C676" s="38">
        <v>122.58</v>
      </c>
      <c r="D676" s="38">
        <v>297.94099999999997</v>
      </c>
      <c r="E676" s="44">
        <v>729.47900000000004</v>
      </c>
      <c r="F676" s="38">
        <v>1150</v>
      </c>
      <c r="G676" s="38">
        <v>100</v>
      </c>
      <c r="H676" s="46">
        <v>600</v>
      </c>
      <c r="I676" s="38">
        <v>695</v>
      </c>
      <c r="J676" s="38">
        <v>50</v>
      </c>
      <c r="K676" s="39"/>
      <c r="L676" s="39"/>
      <c r="M676" s="39"/>
      <c r="N676" s="39"/>
      <c r="O676" s="39"/>
      <c r="P676" s="39"/>
      <c r="Q676" s="39"/>
      <c r="R676" s="39"/>
      <c r="S676" s="39"/>
      <c r="T676" s="39"/>
    </row>
    <row r="677" spans="1:20" ht="15.75">
      <c r="A677" s="13">
        <v>61759</v>
      </c>
      <c r="B677" s="47">
        <f t="shared" si="1"/>
        <v>31</v>
      </c>
      <c r="C677" s="38">
        <v>122.58</v>
      </c>
      <c r="D677" s="38">
        <v>297.94099999999997</v>
      </c>
      <c r="E677" s="44">
        <v>729.47900000000004</v>
      </c>
      <c r="F677" s="38">
        <v>1150</v>
      </c>
      <c r="G677" s="38">
        <v>100</v>
      </c>
      <c r="H677" s="46">
        <v>600</v>
      </c>
      <c r="I677" s="38">
        <v>695</v>
      </c>
      <c r="J677" s="38">
        <v>50</v>
      </c>
      <c r="K677" s="39"/>
      <c r="L677" s="39"/>
      <c r="M677" s="39"/>
      <c r="N677" s="39"/>
      <c r="O677" s="39"/>
      <c r="P677" s="39"/>
      <c r="Q677" s="39"/>
      <c r="R677" s="39"/>
      <c r="S677" s="39"/>
      <c r="T677" s="39"/>
    </row>
    <row r="678" spans="1:20" ht="15.75">
      <c r="A678" s="13">
        <v>61787</v>
      </c>
      <c r="B678" s="47">
        <f t="shared" si="1"/>
        <v>28</v>
      </c>
      <c r="C678" s="38">
        <v>122.58</v>
      </c>
      <c r="D678" s="38">
        <v>297.94099999999997</v>
      </c>
      <c r="E678" s="44">
        <v>729.47900000000004</v>
      </c>
      <c r="F678" s="38">
        <v>1150</v>
      </c>
      <c r="G678" s="38">
        <v>100</v>
      </c>
      <c r="H678" s="46">
        <v>600</v>
      </c>
      <c r="I678" s="38">
        <v>695</v>
      </c>
      <c r="J678" s="38">
        <v>50</v>
      </c>
      <c r="K678" s="39"/>
      <c r="L678" s="39"/>
      <c r="M678" s="39"/>
      <c r="N678" s="39"/>
      <c r="O678" s="39"/>
      <c r="P678" s="39"/>
      <c r="Q678" s="39"/>
      <c r="R678" s="39"/>
      <c r="S678" s="39"/>
      <c r="T678" s="39"/>
    </row>
    <row r="679" spans="1:20" ht="15.75">
      <c r="A679" s="13">
        <v>61818</v>
      </c>
      <c r="B679" s="47">
        <f t="shared" si="1"/>
        <v>31</v>
      </c>
      <c r="C679" s="38">
        <v>122.58</v>
      </c>
      <c r="D679" s="38">
        <v>297.94099999999997</v>
      </c>
      <c r="E679" s="44">
        <v>729.47900000000004</v>
      </c>
      <c r="F679" s="38">
        <v>1150</v>
      </c>
      <c r="G679" s="38">
        <v>100</v>
      </c>
      <c r="H679" s="46">
        <v>600</v>
      </c>
      <c r="I679" s="38">
        <v>695</v>
      </c>
      <c r="J679" s="38">
        <v>50</v>
      </c>
      <c r="K679" s="39"/>
      <c r="L679" s="39"/>
      <c r="M679" s="39"/>
      <c r="N679" s="39"/>
      <c r="O679" s="39"/>
      <c r="P679" s="39"/>
      <c r="Q679" s="39"/>
      <c r="R679" s="39"/>
      <c r="S679" s="39"/>
      <c r="T679" s="39"/>
    </row>
    <row r="680" spans="1:20" ht="15.75">
      <c r="A680" s="13">
        <v>61848</v>
      </c>
      <c r="B680" s="47">
        <f t="shared" si="1"/>
        <v>30</v>
      </c>
      <c r="C680" s="38">
        <v>141.29300000000001</v>
      </c>
      <c r="D680" s="38">
        <v>267.99299999999999</v>
      </c>
      <c r="E680" s="44">
        <v>829.71400000000006</v>
      </c>
      <c r="F680" s="38">
        <v>1239</v>
      </c>
      <c r="G680" s="38">
        <v>100</v>
      </c>
      <c r="H680" s="46">
        <v>600</v>
      </c>
      <c r="I680" s="38">
        <v>695</v>
      </c>
      <c r="J680" s="38">
        <v>50</v>
      </c>
      <c r="K680" s="39"/>
      <c r="L680" s="39"/>
      <c r="M680" s="39"/>
      <c r="N680" s="39"/>
      <c r="O680" s="39"/>
      <c r="P680" s="39"/>
      <c r="Q680" s="39"/>
      <c r="R680" s="39"/>
      <c r="S680" s="39"/>
      <c r="T680" s="39"/>
    </row>
    <row r="681" spans="1:20" ht="15.75">
      <c r="A681" s="13">
        <v>61879</v>
      </c>
      <c r="B681" s="47">
        <f t="shared" si="1"/>
        <v>31</v>
      </c>
      <c r="C681" s="38">
        <v>194.20500000000001</v>
      </c>
      <c r="D681" s="38">
        <v>267.46600000000001</v>
      </c>
      <c r="E681" s="44">
        <v>812.32899999999995</v>
      </c>
      <c r="F681" s="38">
        <v>1274</v>
      </c>
      <c r="G681" s="38">
        <v>75</v>
      </c>
      <c r="H681" s="46">
        <v>600</v>
      </c>
      <c r="I681" s="38">
        <v>695</v>
      </c>
      <c r="J681" s="38">
        <v>50</v>
      </c>
      <c r="K681" s="39"/>
      <c r="L681" s="39"/>
      <c r="M681" s="39"/>
      <c r="N681" s="39"/>
      <c r="O681" s="39"/>
      <c r="P681" s="39"/>
      <c r="Q681" s="39"/>
      <c r="R681" s="39"/>
      <c r="S681" s="39"/>
      <c r="T681" s="39"/>
    </row>
    <row r="682" spans="1:20" ht="15.75">
      <c r="A682" s="13">
        <v>61909</v>
      </c>
      <c r="B682" s="47">
        <f t="shared" si="1"/>
        <v>30</v>
      </c>
      <c r="C682" s="38">
        <v>194.20500000000001</v>
      </c>
      <c r="D682" s="38">
        <v>267.46600000000001</v>
      </c>
      <c r="E682" s="44">
        <v>812.32899999999995</v>
      </c>
      <c r="F682" s="38">
        <v>1274</v>
      </c>
      <c r="G682" s="38">
        <v>50</v>
      </c>
      <c r="H682" s="46">
        <v>600</v>
      </c>
      <c r="I682" s="38">
        <v>695</v>
      </c>
      <c r="J682" s="38">
        <v>50</v>
      </c>
      <c r="K682" s="39"/>
      <c r="L682" s="39"/>
      <c r="M682" s="39"/>
      <c r="N682" s="39"/>
      <c r="O682" s="39"/>
      <c r="P682" s="39"/>
      <c r="Q682" s="39"/>
      <c r="R682" s="39"/>
      <c r="S682" s="39"/>
      <c r="T682" s="39"/>
    </row>
    <row r="683" spans="1:20" ht="15.75">
      <c r="A683" s="13">
        <v>61940</v>
      </c>
      <c r="B683" s="47">
        <f t="shared" si="1"/>
        <v>31</v>
      </c>
      <c r="C683" s="38">
        <v>194.20500000000001</v>
      </c>
      <c r="D683" s="38">
        <v>267.46600000000001</v>
      </c>
      <c r="E683" s="44">
        <v>812.32899999999995</v>
      </c>
      <c r="F683" s="38">
        <v>1274</v>
      </c>
      <c r="G683" s="38">
        <v>50</v>
      </c>
      <c r="H683" s="46">
        <v>600</v>
      </c>
      <c r="I683" s="38">
        <v>695</v>
      </c>
      <c r="J683" s="38">
        <v>0</v>
      </c>
      <c r="K683" s="39"/>
      <c r="L683" s="39"/>
      <c r="M683" s="39"/>
      <c r="N683" s="39"/>
      <c r="O683" s="39"/>
      <c r="P683" s="39"/>
      <c r="Q683" s="39"/>
      <c r="R683" s="39"/>
      <c r="S683" s="39"/>
      <c r="T683" s="39"/>
    </row>
    <row r="684" spans="1:20" ht="15.75">
      <c r="A684" s="13">
        <v>61971</v>
      </c>
      <c r="B684" s="47">
        <f t="shared" si="1"/>
        <v>31</v>
      </c>
      <c r="C684" s="38">
        <v>194.20500000000001</v>
      </c>
      <c r="D684" s="38">
        <v>267.46600000000001</v>
      </c>
      <c r="E684" s="44">
        <v>812.32899999999995</v>
      </c>
      <c r="F684" s="38">
        <v>1274</v>
      </c>
      <c r="G684" s="38">
        <v>50</v>
      </c>
      <c r="H684" s="46">
        <v>600</v>
      </c>
      <c r="I684" s="38">
        <v>695</v>
      </c>
      <c r="J684" s="38">
        <v>0</v>
      </c>
      <c r="K684" s="39"/>
      <c r="L684" s="39"/>
      <c r="M684" s="39"/>
      <c r="N684" s="39"/>
      <c r="O684" s="39"/>
      <c r="P684" s="39"/>
      <c r="Q684" s="39"/>
      <c r="R684" s="39"/>
      <c r="S684" s="39"/>
      <c r="T684" s="39"/>
    </row>
    <row r="685" spans="1:20" ht="15.75">
      <c r="A685" s="13">
        <v>62001</v>
      </c>
      <c r="B685" s="47">
        <f t="shared" si="1"/>
        <v>30</v>
      </c>
      <c r="C685" s="38">
        <v>194.20500000000001</v>
      </c>
      <c r="D685" s="38">
        <v>267.46600000000001</v>
      </c>
      <c r="E685" s="44">
        <v>812.32899999999995</v>
      </c>
      <c r="F685" s="38">
        <v>1274</v>
      </c>
      <c r="G685" s="38">
        <v>50</v>
      </c>
      <c r="H685" s="46">
        <v>600</v>
      </c>
      <c r="I685" s="38">
        <v>695</v>
      </c>
      <c r="J685" s="38">
        <v>0</v>
      </c>
      <c r="K685" s="39"/>
      <c r="L685" s="39"/>
      <c r="M685" s="39"/>
      <c r="N685" s="39"/>
      <c r="O685" s="39"/>
      <c r="P685" s="39"/>
      <c r="Q685" s="39"/>
      <c r="R685" s="39"/>
      <c r="S685" s="39"/>
      <c r="T685" s="39"/>
    </row>
    <row r="686" spans="1:20" ht="15.75">
      <c r="A686" s="13">
        <v>62032</v>
      </c>
      <c r="B686" s="47">
        <f t="shared" si="1"/>
        <v>31</v>
      </c>
      <c r="C686" s="38">
        <v>131.881</v>
      </c>
      <c r="D686" s="38">
        <v>277.16699999999997</v>
      </c>
      <c r="E686" s="44">
        <v>829.952</v>
      </c>
      <c r="F686" s="38">
        <v>1239</v>
      </c>
      <c r="G686" s="38">
        <v>75</v>
      </c>
      <c r="H686" s="46">
        <v>600</v>
      </c>
      <c r="I686" s="38">
        <v>695</v>
      </c>
      <c r="J686" s="38">
        <v>0</v>
      </c>
      <c r="K686" s="39"/>
      <c r="L686" s="39"/>
      <c r="M686" s="39"/>
      <c r="N686" s="39"/>
      <c r="O686" s="39"/>
      <c r="P686" s="39"/>
      <c r="Q686" s="39"/>
      <c r="R686" s="39"/>
      <c r="S686" s="39"/>
      <c r="T686" s="39"/>
    </row>
    <row r="687" spans="1:20" ht="15.75">
      <c r="A687" s="13">
        <v>62062</v>
      </c>
      <c r="B687" s="47">
        <f t="shared" si="1"/>
        <v>30</v>
      </c>
      <c r="C687" s="38">
        <v>122.58</v>
      </c>
      <c r="D687" s="38">
        <v>297.94099999999997</v>
      </c>
      <c r="E687" s="44">
        <v>729.47900000000004</v>
      </c>
      <c r="F687" s="38">
        <v>1150</v>
      </c>
      <c r="G687" s="38">
        <v>100</v>
      </c>
      <c r="H687" s="46">
        <v>600</v>
      </c>
      <c r="I687" s="38">
        <v>695</v>
      </c>
      <c r="J687" s="38">
        <v>50</v>
      </c>
      <c r="K687" s="39"/>
      <c r="L687" s="39"/>
      <c r="M687" s="39"/>
      <c r="N687" s="39"/>
      <c r="O687" s="39"/>
      <c r="P687" s="39"/>
      <c r="Q687" s="39"/>
      <c r="R687" s="39"/>
      <c r="S687" s="39"/>
      <c r="T687" s="39"/>
    </row>
    <row r="688" spans="1:20" ht="15.75">
      <c r="A688" s="13">
        <v>62093</v>
      </c>
      <c r="B688" s="47">
        <f t="shared" si="1"/>
        <v>31</v>
      </c>
      <c r="C688" s="38">
        <v>122.58</v>
      </c>
      <c r="D688" s="38">
        <v>297.94099999999997</v>
      </c>
      <c r="E688" s="44">
        <v>729.47900000000004</v>
      </c>
      <c r="F688" s="38">
        <v>1150</v>
      </c>
      <c r="G688" s="38">
        <v>100</v>
      </c>
      <c r="H688" s="46">
        <v>600</v>
      </c>
      <c r="I688" s="38">
        <v>695</v>
      </c>
      <c r="J688" s="38">
        <v>50</v>
      </c>
      <c r="K688" s="39"/>
      <c r="L688" s="39"/>
      <c r="M688" s="39"/>
      <c r="N688" s="39"/>
      <c r="O688" s="39"/>
      <c r="P688" s="39"/>
      <c r="Q688" s="39"/>
      <c r="R688" s="39"/>
      <c r="S688" s="39"/>
      <c r="T688" s="39"/>
    </row>
    <row r="689" spans="1:20" ht="15.75">
      <c r="A689" s="13">
        <v>62124</v>
      </c>
      <c r="B689" s="47">
        <f t="shared" si="1"/>
        <v>31</v>
      </c>
      <c r="C689" s="38">
        <v>122.58</v>
      </c>
      <c r="D689" s="38">
        <v>297.94099999999997</v>
      </c>
      <c r="E689" s="44">
        <v>729.47900000000004</v>
      </c>
      <c r="F689" s="38">
        <v>1150</v>
      </c>
      <c r="G689" s="38">
        <v>100</v>
      </c>
      <c r="H689" s="46">
        <v>600</v>
      </c>
      <c r="I689" s="38">
        <v>695</v>
      </c>
      <c r="J689" s="38">
        <v>50</v>
      </c>
      <c r="K689" s="39"/>
      <c r="L689" s="39"/>
      <c r="M689" s="39"/>
      <c r="N689" s="39"/>
      <c r="O689" s="39"/>
      <c r="P689" s="39"/>
      <c r="Q689" s="39"/>
      <c r="R689" s="39"/>
      <c r="S689" s="39"/>
      <c r="T689" s="39"/>
    </row>
    <row r="690" spans="1:20" ht="15.75">
      <c r="A690" s="13">
        <v>62152</v>
      </c>
      <c r="B690" s="47">
        <f t="shared" si="1"/>
        <v>28</v>
      </c>
      <c r="C690" s="38">
        <v>122.58</v>
      </c>
      <c r="D690" s="38">
        <v>297.94099999999997</v>
      </c>
      <c r="E690" s="44">
        <v>729.47900000000004</v>
      </c>
      <c r="F690" s="38">
        <v>1150</v>
      </c>
      <c r="G690" s="38">
        <v>100</v>
      </c>
      <c r="H690" s="46">
        <v>600</v>
      </c>
      <c r="I690" s="38">
        <v>695</v>
      </c>
      <c r="J690" s="38">
        <v>50</v>
      </c>
      <c r="K690" s="39"/>
      <c r="L690" s="39"/>
      <c r="M690" s="39"/>
      <c r="N690" s="39"/>
      <c r="O690" s="39"/>
      <c r="P690" s="39"/>
      <c r="Q690" s="39"/>
      <c r="R690" s="39"/>
      <c r="S690" s="39"/>
      <c r="T690" s="39"/>
    </row>
    <row r="691" spans="1:20" ht="15.75">
      <c r="A691" s="13">
        <v>62183</v>
      </c>
      <c r="B691" s="47">
        <f t="shared" si="1"/>
        <v>31</v>
      </c>
      <c r="C691" s="38">
        <v>122.58</v>
      </c>
      <c r="D691" s="38">
        <v>297.94099999999997</v>
      </c>
      <c r="E691" s="44">
        <v>729.47900000000004</v>
      </c>
      <c r="F691" s="38">
        <v>1150</v>
      </c>
      <c r="G691" s="38">
        <v>100</v>
      </c>
      <c r="H691" s="46">
        <v>600</v>
      </c>
      <c r="I691" s="38">
        <v>695</v>
      </c>
      <c r="J691" s="38">
        <v>50</v>
      </c>
      <c r="K691" s="39"/>
      <c r="L691" s="39"/>
      <c r="M691" s="39"/>
      <c r="N691" s="39"/>
      <c r="O691" s="39"/>
      <c r="P691" s="39"/>
      <c r="Q691" s="39"/>
      <c r="R691" s="39"/>
      <c r="S691" s="39"/>
      <c r="T691" s="39"/>
    </row>
    <row r="692" spans="1:20" ht="15.75">
      <c r="A692" s="13">
        <v>62213</v>
      </c>
      <c r="B692" s="47">
        <f t="shared" si="1"/>
        <v>30</v>
      </c>
      <c r="C692" s="38">
        <v>141.29300000000001</v>
      </c>
      <c r="D692" s="38">
        <v>267.99299999999999</v>
      </c>
      <c r="E692" s="44">
        <v>829.71400000000006</v>
      </c>
      <c r="F692" s="38">
        <v>1239</v>
      </c>
      <c r="G692" s="38">
        <v>100</v>
      </c>
      <c r="H692" s="46">
        <v>600</v>
      </c>
      <c r="I692" s="38">
        <v>695</v>
      </c>
      <c r="J692" s="38">
        <v>50</v>
      </c>
      <c r="K692" s="39"/>
      <c r="L692" s="39"/>
      <c r="M692" s="39"/>
      <c r="N692" s="39"/>
      <c r="O692" s="39"/>
      <c r="P692" s="39"/>
      <c r="Q692" s="39"/>
      <c r="R692" s="39"/>
      <c r="S692" s="39"/>
      <c r="T692" s="39"/>
    </row>
    <row r="693" spans="1:20" ht="15.75">
      <c r="A693" s="13">
        <v>62244</v>
      </c>
      <c r="B693" s="47">
        <f t="shared" si="1"/>
        <v>31</v>
      </c>
      <c r="C693" s="38">
        <v>194.20500000000001</v>
      </c>
      <c r="D693" s="38">
        <v>267.46600000000001</v>
      </c>
      <c r="E693" s="44">
        <v>812.32899999999995</v>
      </c>
      <c r="F693" s="38">
        <v>1274</v>
      </c>
      <c r="G693" s="38">
        <v>75</v>
      </c>
      <c r="H693" s="46">
        <v>600</v>
      </c>
      <c r="I693" s="38">
        <v>695</v>
      </c>
      <c r="J693" s="38">
        <v>50</v>
      </c>
      <c r="K693" s="39"/>
      <c r="L693" s="39"/>
      <c r="M693" s="39"/>
      <c r="N693" s="39"/>
      <c r="O693" s="39"/>
      <c r="P693" s="39"/>
      <c r="Q693" s="39"/>
      <c r="R693" s="39"/>
      <c r="S693" s="39"/>
      <c r="T693" s="39"/>
    </row>
    <row r="694" spans="1:20" ht="15.75">
      <c r="A694" s="13">
        <v>62274</v>
      </c>
      <c r="B694" s="47">
        <f t="shared" si="1"/>
        <v>30</v>
      </c>
      <c r="C694" s="38">
        <v>194.20500000000001</v>
      </c>
      <c r="D694" s="38">
        <v>267.46600000000001</v>
      </c>
      <c r="E694" s="44">
        <v>812.32899999999995</v>
      </c>
      <c r="F694" s="38">
        <v>1274</v>
      </c>
      <c r="G694" s="38">
        <v>50</v>
      </c>
      <c r="H694" s="46">
        <v>600</v>
      </c>
      <c r="I694" s="38">
        <v>695</v>
      </c>
      <c r="J694" s="38">
        <v>50</v>
      </c>
      <c r="K694" s="39"/>
      <c r="L694" s="39"/>
      <c r="M694" s="39"/>
      <c r="N694" s="39"/>
      <c r="O694" s="39"/>
      <c r="P694" s="39"/>
      <c r="Q694" s="39"/>
      <c r="R694" s="39"/>
      <c r="S694" s="39"/>
      <c r="T694" s="39"/>
    </row>
    <row r="695" spans="1:20" ht="15.75">
      <c r="A695" s="13">
        <v>62305</v>
      </c>
      <c r="B695" s="47">
        <f t="shared" si="1"/>
        <v>31</v>
      </c>
      <c r="C695" s="38">
        <v>194.20500000000001</v>
      </c>
      <c r="D695" s="38">
        <v>267.46600000000001</v>
      </c>
      <c r="E695" s="44">
        <v>812.32899999999995</v>
      </c>
      <c r="F695" s="38">
        <v>1274</v>
      </c>
      <c r="G695" s="38">
        <v>50</v>
      </c>
      <c r="H695" s="46">
        <v>600</v>
      </c>
      <c r="I695" s="38">
        <v>695</v>
      </c>
      <c r="J695" s="38">
        <v>0</v>
      </c>
      <c r="K695" s="39"/>
      <c r="L695" s="39"/>
      <c r="M695" s="39"/>
      <c r="N695" s="39"/>
      <c r="O695" s="39"/>
      <c r="P695" s="39"/>
      <c r="Q695" s="39"/>
      <c r="R695" s="39"/>
      <c r="S695" s="39"/>
      <c r="T695" s="39"/>
    </row>
    <row r="696" spans="1:20" ht="15.75">
      <c r="A696" s="13">
        <v>62336</v>
      </c>
      <c r="B696" s="47">
        <f t="shared" si="1"/>
        <v>31</v>
      </c>
      <c r="C696" s="38">
        <v>194.20500000000001</v>
      </c>
      <c r="D696" s="38">
        <v>267.46600000000001</v>
      </c>
      <c r="E696" s="44">
        <v>812.32899999999995</v>
      </c>
      <c r="F696" s="38">
        <v>1274</v>
      </c>
      <c r="G696" s="38">
        <v>50</v>
      </c>
      <c r="H696" s="46">
        <v>600</v>
      </c>
      <c r="I696" s="38">
        <v>695</v>
      </c>
      <c r="J696" s="38">
        <v>0</v>
      </c>
      <c r="K696" s="39"/>
      <c r="L696" s="39"/>
      <c r="M696" s="39"/>
      <c r="N696" s="39"/>
      <c r="O696" s="39"/>
      <c r="P696" s="39"/>
      <c r="Q696" s="39"/>
      <c r="R696" s="39"/>
      <c r="S696" s="39"/>
      <c r="T696" s="39"/>
    </row>
    <row r="697" spans="1:20" ht="15.75">
      <c r="A697" s="13">
        <v>62366</v>
      </c>
      <c r="B697" s="47">
        <f t="shared" si="1"/>
        <v>30</v>
      </c>
      <c r="C697" s="38">
        <v>194.20500000000001</v>
      </c>
      <c r="D697" s="38">
        <v>267.46600000000001</v>
      </c>
      <c r="E697" s="44">
        <v>812.32899999999995</v>
      </c>
      <c r="F697" s="38">
        <v>1274</v>
      </c>
      <c r="G697" s="38">
        <v>50</v>
      </c>
      <c r="H697" s="46">
        <v>600</v>
      </c>
      <c r="I697" s="38">
        <v>695</v>
      </c>
      <c r="J697" s="38">
        <v>0</v>
      </c>
      <c r="K697" s="39"/>
      <c r="L697" s="39"/>
      <c r="M697" s="39"/>
      <c r="N697" s="39"/>
      <c r="O697" s="39"/>
      <c r="P697" s="39"/>
      <c r="Q697" s="39"/>
      <c r="R697" s="39"/>
      <c r="S697" s="39"/>
      <c r="T697" s="39"/>
    </row>
    <row r="698" spans="1:20" ht="15.75">
      <c r="A698" s="13">
        <v>62397</v>
      </c>
      <c r="B698" s="47">
        <f t="shared" si="1"/>
        <v>31</v>
      </c>
      <c r="C698" s="38">
        <v>131.881</v>
      </c>
      <c r="D698" s="38">
        <v>277.16699999999997</v>
      </c>
      <c r="E698" s="44">
        <v>829.952</v>
      </c>
      <c r="F698" s="38">
        <v>1239</v>
      </c>
      <c r="G698" s="38">
        <v>75</v>
      </c>
      <c r="H698" s="46">
        <v>600</v>
      </c>
      <c r="I698" s="38">
        <v>695</v>
      </c>
      <c r="J698" s="38">
        <v>0</v>
      </c>
      <c r="K698" s="39"/>
      <c r="L698" s="39"/>
      <c r="M698" s="39"/>
      <c r="N698" s="39"/>
      <c r="O698" s="39"/>
      <c r="P698" s="39"/>
      <c r="Q698" s="39"/>
      <c r="R698" s="39"/>
      <c r="S698" s="39"/>
      <c r="T698" s="39"/>
    </row>
    <row r="699" spans="1:20" ht="15.75">
      <c r="A699" s="13">
        <v>62427</v>
      </c>
      <c r="B699" s="47">
        <f t="shared" si="1"/>
        <v>30</v>
      </c>
      <c r="C699" s="38">
        <v>122.58</v>
      </c>
      <c r="D699" s="38">
        <v>297.94099999999997</v>
      </c>
      <c r="E699" s="44">
        <v>729.47900000000004</v>
      </c>
      <c r="F699" s="38">
        <v>1150</v>
      </c>
      <c r="G699" s="38">
        <v>100</v>
      </c>
      <c r="H699" s="46">
        <v>600</v>
      </c>
      <c r="I699" s="38">
        <v>695</v>
      </c>
      <c r="J699" s="38">
        <v>50</v>
      </c>
      <c r="K699" s="39"/>
      <c r="L699" s="39"/>
      <c r="M699" s="39"/>
      <c r="N699" s="39"/>
      <c r="O699" s="39"/>
      <c r="P699" s="39"/>
      <c r="Q699" s="39"/>
      <c r="R699" s="39"/>
      <c r="S699" s="39"/>
      <c r="T699" s="39"/>
    </row>
    <row r="700" spans="1:20" ht="15.75">
      <c r="A700" s="13">
        <v>62458</v>
      </c>
      <c r="B700" s="47">
        <f t="shared" si="1"/>
        <v>31</v>
      </c>
      <c r="C700" s="38">
        <v>122.58</v>
      </c>
      <c r="D700" s="38">
        <v>297.94099999999997</v>
      </c>
      <c r="E700" s="44">
        <v>729.47900000000004</v>
      </c>
      <c r="F700" s="38">
        <v>1150</v>
      </c>
      <c r="G700" s="38">
        <v>100</v>
      </c>
      <c r="H700" s="46">
        <v>600</v>
      </c>
      <c r="I700" s="38">
        <v>695</v>
      </c>
      <c r="J700" s="38">
        <v>50</v>
      </c>
      <c r="K700" s="39"/>
      <c r="L700" s="39"/>
      <c r="M700" s="39"/>
      <c r="N700" s="39"/>
      <c r="O700" s="39"/>
      <c r="P700" s="39"/>
      <c r="Q700" s="39"/>
      <c r="R700" s="39"/>
      <c r="S700" s="39"/>
      <c r="T700" s="39"/>
    </row>
    <row r="701" spans="1:20" ht="15.75">
      <c r="A701" s="13">
        <v>62489</v>
      </c>
      <c r="B701" s="47">
        <f t="shared" si="1"/>
        <v>31</v>
      </c>
      <c r="C701" s="38">
        <v>122.58</v>
      </c>
      <c r="D701" s="38">
        <v>297.94099999999997</v>
      </c>
      <c r="E701" s="44">
        <v>729.47900000000004</v>
      </c>
      <c r="F701" s="38">
        <v>1150</v>
      </c>
      <c r="G701" s="38">
        <v>100</v>
      </c>
      <c r="H701" s="46">
        <v>600</v>
      </c>
      <c r="I701" s="38">
        <v>695</v>
      </c>
      <c r="J701" s="38">
        <v>50</v>
      </c>
      <c r="K701" s="39"/>
      <c r="L701" s="39"/>
      <c r="M701" s="39"/>
      <c r="N701" s="39"/>
      <c r="O701" s="39"/>
      <c r="P701" s="39"/>
      <c r="Q701" s="39"/>
      <c r="R701" s="39"/>
      <c r="S701" s="39"/>
      <c r="T701" s="39"/>
    </row>
    <row r="702" spans="1:20" ht="15.75">
      <c r="A702" s="13">
        <v>62517</v>
      </c>
      <c r="B702" s="47">
        <f t="shared" si="1"/>
        <v>28</v>
      </c>
      <c r="C702" s="38">
        <v>122.58</v>
      </c>
      <c r="D702" s="38">
        <v>297.94099999999997</v>
      </c>
      <c r="E702" s="44">
        <v>729.47900000000004</v>
      </c>
      <c r="F702" s="38">
        <v>1150</v>
      </c>
      <c r="G702" s="38">
        <v>100</v>
      </c>
      <c r="H702" s="46">
        <v>600</v>
      </c>
      <c r="I702" s="38">
        <v>695</v>
      </c>
      <c r="J702" s="38">
        <v>50</v>
      </c>
      <c r="K702" s="39"/>
      <c r="L702" s="39"/>
      <c r="M702" s="39"/>
      <c r="N702" s="39"/>
      <c r="O702" s="39"/>
      <c r="P702" s="39"/>
      <c r="Q702" s="39"/>
      <c r="R702" s="39"/>
      <c r="S702" s="39"/>
      <c r="T702" s="39"/>
    </row>
    <row r="703" spans="1:20" ht="15.75">
      <c r="A703" s="13">
        <v>62548</v>
      </c>
      <c r="B703" s="47">
        <f t="shared" si="1"/>
        <v>31</v>
      </c>
      <c r="C703" s="38">
        <v>122.58</v>
      </c>
      <c r="D703" s="38">
        <v>297.94099999999997</v>
      </c>
      <c r="E703" s="44">
        <v>729.47900000000004</v>
      </c>
      <c r="F703" s="38">
        <v>1150</v>
      </c>
      <c r="G703" s="38">
        <v>100</v>
      </c>
      <c r="H703" s="46">
        <v>600</v>
      </c>
      <c r="I703" s="38">
        <v>695</v>
      </c>
      <c r="J703" s="38">
        <v>50</v>
      </c>
      <c r="K703" s="39"/>
      <c r="L703" s="39"/>
      <c r="M703" s="39"/>
      <c r="N703" s="39"/>
      <c r="O703" s="39"/>
      <c r="P703" s="39"/>
      <c r="Q703" s="39"/>
      <c r="R703" s="39"/>
      <c r="S703" s="39"/>
      <c r="T703" s="39"/>
    </row>
    <row r="704" spans="1:20" ht="15.75">
      <c r="A704" s="13">
        <v>62578</v>
      </c>
      <c r="B704" s="47">
        <f t="shared" si="1"/>
        <v>30</v>
      </c>
      <c r="C704" s="38">
        <v>141.29300000000001</v>
      </c>
      <c r="D704" s="38">
        <v>267.99299999999999</v>
      </c>
      <c r="E704" s="44">
        <v>829.71400000000006</v>
      </c>
      <c r="F704" s="38">
        <v>1239</v>
      </c>
      <c r="G704" s="38">
        <v>100</v>
      </c>
      <c r="H704" s="46">
        <v>600</v>
      </c>
      <c r="I704" s="38">
        <v>695</v>
      </c>
      <c r="J704" s="38">
        <v>50</v>
      </c>
      <c r="K704" s="39"/>
      <c r="L704" s="39"/>
      <c r="M704" s="39"/>
      <c r="N704" s="39"/>
      <c r="O704" s="39"/>
      <c r="P704" s="39"/>
      <c r="Q704" s="39"/>
      <c r="R704" s="39"/>
      <c r="S704" s="39"/>
      <c r="T704" s="39"/>
    </row>
    <row r="705" spans="1:20" ht="15.75">
      <c r="A705" s="13">
        <v>62609</v>
      </c>
      <c r="B705" s="47">
        <f t="shared" si="1"/>
        <v>31</v>
      </c>
      <c r="C705" s="38">
        <v>194.20500000000001</v>
      </c>
      <c r="D705" s="38">
        <v>267.46600000000001</v>
      </c>
      <c r="E705" s="44">
        <v>812.32899999999995</v>
      </c>
      <c r="F705" s="38">
        <v>1274</v>
      </c>
      <c r="G705" s="38">
        <v>75</v>
      </c>
      <c r="H705" s="46">
        <v>600</v>
      </c>
      <c r="I705" s="38">
        <v>695</v>
      </c>
      <c r="J705" s="38">
        <v>50</v>
      </c>
      <c r="K705" s="39"/>
      <c r="L705" s="39"/>
      <c r="M705" s="39"/>
      <c r="N705" s="39"/>
      <c r="O705" s="39"/>
      <c r="P705" s="39"/>
      <c r="Q705" s="39"/>
      <c r="R705" s="39"/>
      <c r="S705" s="39"/>
      <c r="T705" s="39"/>
    </row>
    <row r="706" spans="1:20" ht="15.75">
      <c r="A706" s="13">
        <v>62639</v>
      </c>
      <c r="B706" s="47">
        <f t="shared" si="1"/>
        <v>30</v>
      </c>
      <c r="C706" s="38">
        <v>194.20500000000001</v>
      </c>
      <c r="D706" s="38">
        <v>267.46600000000001</v>
      </c>
      <c r="E706" s="44">
        <v>812.32899999999995</v>
      </c>
      <c r="F706" s="38">
        <v>1274</v>
      </c>
      <c r="G706" s="38">
        <v>50</v>
      </c>
      <c r="H706" s="46">
        <v>600</v>
      </c>
      <c r="I706" s="38">
        <v>695</v>
      </c>
      <c r="J706" s="38">
        <v>50</v>
      </c>
      <c r="K706" s="39"/>
      <c r="L706" s="39"/>
      <c r="M706" s="39"/>
      <c r="N706" s="39"/>
      <c r="O706" s="39"/>
      <c r="P706" s="39"/>
      <c r="Q706" s="39"/>
      <c r="R706" s="39"/>
      <c r="S706" s="39"/>
      <c r="T706" s="39"/>
    </row>
    <row r="707" spans="1:20" ht="15.75">
      <c r="A707" s="13">
        <v>62670</v>
      </c>
      <c r="B707" s="47">
        <f t="shared" si="1"/>
        <v>31</v>
      </c>
      <c r="C707" s="38">
        <v>194.20500000000001</v>
      </c>
      <c r="D707" s="38">
        <v>267.46600000000001</v>
      </c>
      <c r="E707" s="44">
        <v>812.32899999999995</v>
      </c>
      <c r="F707" s="38">
        <v>1274</v>
      </c>
      <c r="G707" s="38">
        <v>50</v>
      </c>
      <c r="H707" s="46">
        <v>600</v>
      </c>
      <c r="I707" s="38">
        <v>695</v>
      </c>
      <c r="J707" s="38">
        <v>0</v>
      </c>
      <c r="K707" s="39"/>
      <c r="L707" s="39"/>
      <c r="M707" s="39"/>
      <c r="N707" s="39"/>
      <c r="O707" s="39"/>
      <c r="P707" s="39"/>
      <c r="Q707" s="39"/>
      <c r="R707" s="39"/>
      <c r="S707" s="39"/>
      <c r="T707" s="39"/>
    </row>
    <row r="708" spans="1:20" ht="15.75">
      <c r="A708" s="13">
        <v>62701</v>
      </c>
      <c r="B708" s="47">
        <f t="shared" si="1"/>
        <v>31</v>
      </c>
      <c r="C708" s="38">
        <v>194.20500000000001</v>
      </c>
      <c r="D708" s="38">
        <v>267.46600000000001</v>
      </c>
      <c r="E708" s="44">
        <v>812.32899999999995</v>
      </c>
      <c r="F708" s="38">
        <v>1274</v>
      </c>
      <c r="G708" s="38">
        <v>50</v>
      </c>
      <c r="H708" s="46">
        <v>600</v>
      </c>
      <c r="I708" s="38">
        <v>695</v>
      </c>
      <c r="J708" s="38">
        <v>0</v>
      </c>
      <c r="K708" s="39"/>
      <c r="L708" s="39"/>
      <c r="M708" s="39"/>
      <c r="N708" s="39"/>
      <c r="O708" s="39"/>
      <c r="P708" s="39"/>
      <c r="Q708" s="39"/>
      <c r="R708" s="39"/>
      <c r="S708" s="39"/>
      <c r="T708" s="39"/>
    </row>
    <row r="709" spans="1:20" ht="15.75">
      <c r="A709" s="13">
        <v>62731</v>
      </c>
      <c r="B709" s="47">
        <f t="shared" si="1"/>
        <v>30</v>
      </c>
      <c r="C709" s="38">
        <v>194.20500000000001</v>
      </c>
      <c r="D709" s="38">
        <v>267.46600000000001</v>
      </c>
      <c r="E709" s="44">
        <v>812.32899999999995</v>
      </c>
      <c r="F709" s="38">
        <v>1274</v>
      </c>
      <c r="G709" s="38">
        <v>50</v>
      </c>
      <c r="H709" s="46">
        <v>600</v>
      </c>
      <c r="I709" s="38">
        <v>695</v>
      </c>
      <c r="J709" s="38">
        <v>0</v>
      </c>
      <c r="K709" s="39"/>
      <c r="L709" s="39"/>
      <c r="M709" s="39"/>
      <c r="N709" s="39"/>
      <c r="O709" s="39"/>
      <c r="P709" s="39"/>
      <c r="Q709" s="39"/>
      <c r="R709" s="39"/>
      <c r="S709" s="39"/>
      <c r="T709" s="39"/>
    </row>
    <row r="710" spans="1:20" ht="15.75">
      <c r="A710" s="13">
        <v>62762</v>
      </c>
      <c r="B710" s="47">
        <f t="shared" si="1"/>
        <v>31</v>
      </c>
      <c r="C710" s="38">
        <v>131.881</v>
      </c>
      <c r="D710" s="38">
        <v>277.16699999999997</v>
      </c>
      <c r="E710" s="44">
        <v>829.952</v>
      </c>
      <c r="F710" s="38">
        <v>1239</v>
      </c>
      <c r="G710" s="38">
        <v>75</v>
      </c>
      <c r="H710" s="46">
        <v>600</v>
      </c>
      <c r="I710" s="38">
        <v>695</v>
      </c>
      <c r="J710" s="38">
        <v>0</v>
      </c>
      <c r="K710" s="39"/>
      <c r="L710" s="39"/>
      <c r="M710" s="39"/>
      <c r="N710" s="39"/>
      <c r="O710" s="39"/>
      <c r="P710" s="39"/>
      <c r="Q710" s="39"/>
      <c r="R710" s="39"/>
      <c r="S710" s="39"/>
      <c r="T710" s="39"/>
    </row>
    <row r="711" spans="1:20" ht="15.75">
      <c r="A711" s="13">
        <v>62792</v>
      </c>
      <c r="B711" s="47">
        <f t="shared" si="1"/>
        <v>30</v>
      </c>
      <c r="C711" s="38">
        <v>122.58</v>
      </c>
      <c r="D711" s="38">
        <v>297.94099999999997</v>
      </c>
      <c r="E711" s="44">
        <v>729.47900000000004</v>
      </c>
      <c r="F711" s="38">
        <v>1150</v>
      </c>
      <c r="G711" s="38">
        <v>100</v>
      </c>
      <c r="H711" s="46">
        <v>600</v>
      </c>
      <c r="I711" s="38">
        <v>695</v>
      </c>
      <c r="J711" s="38">
        <v>50</v>
      </c>
      <c r="K711" s="39"/>
      <c r="L711" s="39"/>
      <c r="M711" s="39"/>
      <c r="N711" s="39"/>
      <c r="O711" s="39"/>
      <c r="P711" s="39"/>
      <c r="Q711" s="39"/>
      <c r="R711" s="39"/>
      <c r="S711" s="39"/>
      <c r="T711" s="39"/>
    </row>
    <row r="712" spans="1:20" ht="15.75">
      <c r="A712" s="13">
        <v>62823</v>
      </c>
      <c r="B712" s="47">
        <f t="shared" si="1"/>
        <v>31</v>
      </c>
      <c r="C712" s="38">
        <v>122.58</v>
      </c>
      <c r="D712" s="38">
        <v>297.94099999999997</v>
      </c>
      <c r="E712" s="44">
        <v>729.47900000000004</v>
      </c>
      <c r="F712" s="38">
        <v>1150</v>
      </c>
      <c r="G712" s="38">
        <v>100</v>
      </c>
      <c r="H712" s="46">
        <v>600</v>
      </c>
      <c r="I712" s="38">
        <v>695</v>
      </c>
      <c r="J712" s="38">
        <v>50</v>
      </c>
      <c r="K712" s="39"/>
      <c r="L712" s="39"/>
      <c r="M712" s="39"/>
      <c r="N712" s="39"/>
      <c r="O712" s="39"/>
      <c r="P712" s="39"/>
      <c r="Q712" s="39"/>
      <c r="R712" s="39"/>
      <c r="S712" s="39"/>
      <c r="T712" s="39"/>
    </row>
    <row r="713" spans="1:20" ht="15.75">
      <c r="A713" s="13">
        <v>62854</v>
      </c>
      <c r="B713" s="47">
        <f t="shared" si="1"/>
        <v>31</v>
      </c>
      <c r="C713" s="38">
        <v>122.58</v>
      </c>
      <c r="D713" s="38">
        <v>297.94099999999997</v>
      </c>
      <c r="E713" s="44">
        <v>729.47900000000004</v>
      </c>
      <c r="F713" s="38">
        <v>1150</v>
      </c>
      <c r="G713" s="38">
        <v>100</v>
      </c>
      <c r="H713" s="46">
        <v>600</v>
      </c>
      <c r="I713" s="38">
        <v>695</v>
      </c>
      <c r="J713" s="38">
        <v>50</v>
      </c>
      <c r="K713" s="39"/>
      <c r="L713" s="39"/>
      <c r="M713" s="39"/>
      <c r="N713" s="39"/>
      <c r="O713" s="39"/>
      <c r="P713" s="39"/>
      <c r="Q713" s="39"/>
      <c r="R713" s="39"/>
      <c r="S713" s="39"/>
      <c r="T713" s="39"/>
    </row>
    <row r="714" spans="1:20" ht="15.75">
      <c r="A714" s="13">
        <v>62883</v>
      </c>
      <c r="B714" s="47">
        <f t="shared" si="1"/>
        <v>29</v>
      </c>
      <c r="C714" s="38">
        <v>122.58</v>
      </c>
      <c r="D714" s="38">
        <v>297.94099999999997</v>
      </c>
      <c r="E714" s="44">
        <v>729.47900000000004</v>
      </c>
      <c r="F714" s="38">
        <v>1150</v>
      </c>
      <c r="G714" s="38">
        <v>100</v>
      </c>
      <c r="H714" s="46">
        <v>600</v>
      </c>
      <c r="I714" s="38">
        <v>695</v>
      </c>
      <c r="J714" s="38">
        <v>50</v>
      </c>
      <c r="K714" s="39"/>
      <c r="L714" s="39"/>
      <c r="M714" s="39"/>
      <c r="N714" s="39"/>
      <c r="O714" s="39"/>
      <c r="P714" s="39"/>
      <c r="Q714" s="39"/>
      <c r="R714" s="39"/>
      <c r="S714" s="39"/>
      <c r="T714" s="39"/>
    </row>
    <row r="715" spans="1:20" ht="15.75">
      <c r="A715" s="13">
        <v>62914</v>
      </c>
      <c r="B715" s="47">
        <f t="shared" si="1"/>
        <v>31</v>
      </c>
      <c r="C715" s="38">
        <v>122.58</v>
      </c>
      <c r="D715" s="38">
        <v>297.94099999999997</v>
      </c>
      <c r="E715" s="44">
        <v>729.47900000000004</v>
      </c>
      <c r="F715" s="38">
        <v>1150</v>
      </c>
      <c r="G715" s="38">
        <v>100</v>
      </c>
      <c r="H715" s="46">
        <v>600</v>
      </c>
      <c r="I715" s="38">
        <v>695</v>
      </c>
      <c r="J715" s="38">
        <v>50</v>
      </c>
      <c r="K715" s="39"/>
      <c r="L715" s="39"/>
      <c r="M715" s="39"/>
      <c r="N715" s="39"/>
      <c r="O715" s="39"/>
      <c r="P715" s="39"/>
      <c r="Q715" s="39"/>
      <c r="R715" s="39"/>
      <c r="S715" s="39"/>
      <c r="T715" s="39"/>
    </row>
    <row r="716" spans="1:20" ht="15.75">
      <c r="A716" s="13">
        <v>62944</v>
      </c>
      <c r="B716" s="47">
        <f t="shared" si="1"/>
        <v>30</v>
      </c>
      <c r="C716" s="38">
        <v>141.29300000000001</v>
      </c>
      <c r="D716" s="38">
        <v>267.99299999999999</v>
      </c>
      <c r="E716" s="44">
        <v>829.71400000000006</v>
      </c>
      <c r="F716" s="38">
        <v>1239</v>
      </c>
      <c r="G716" s="38">
        <v>100</v>
      </c>
      <c r="H716" s="46">
        <v>600</v>
      </c>
      <c r="I716" s="38">
        <v>695</v>
      </c>
      <c r="J716" s="38">
        <v>50</v>
      </c>
      <c r="K716" s="39"/>
      <c r="L716" s="39"/>
      <c r="M716" s="39"/>
      <c r="N716" s="39"/>
      <c r="O716" s="39"/>
      <c r="P716" s="39"/>
      <c r="Q716" s="39"/>
      <c r="R716" s="39"/>
      <c r="S716" s="39"/>
      <c r="T716" s="39"/>
    </row>
    <row r="717" spans="1:20" ht="15.75">
      <c r="A717" s="13">
        <v>62975</v>
      </c>
      <c r="B717" s="47">
        <f t="shared" si="1"/>
        <v>31</v>
      </c>
      <c r="C717" s="38">
        <v>194.20500000000001</v>
      </c>
      <c r="D717" s="38">
        <v>267.46600000000001</v>
      </c>
      <c r="E717" s="44">
        <v>812.32899999999995</v>
      </c>
      <c r="F717" s="38">
        <v>1274</v>
      </c>
      <c r="G717" s="38">
        <v>75</v>
      </c>
      <c r="H717" s="46">
        <v>600</v>
      </c>
      <c r="I717" s="38">
        <v>695</v>
      </c>
      <c r="J717" s="38">
        <v>50</v>
      </c>
      <c r="K717" s="39"/>
      <c r="L717" s="39"/>
      <c r="M717" s="39"/>
      <c r="N717" s="39"/>
      <c r="O717" s="39"/>
      <c r="P717" s="39"/>
      <c r="Q717" s="39"/>
      <c r="R717" s="39"/>
      <c r="S717" s="39"/>
      <c r="T717" s="39"/>
    </row>
    <row r="718" spans="1:20" ht="15.75">
      <c r="A718" s="13">
        <v>63005</v>
      </c>
      <c r="B718" s="47">
        <f t="shared" si="1"/>
        <v>30</v>
      </c>
      <c r="C718" s="38">
        <v>194.20500000000001</v>
      </c>
      <c r="D718" s="38">
        <v>267.46600000000001</v>
      </c>
      <c r="E718" s="44">
        <v>812.32899999999995</v>
      </c>
      <c r="F718" s="38">
        <v>1274</v>
      </c>
      <c r="G718" s="38">
        <v>50</v>
      </c>
      <c r="H718" s="46">
        <v>600</v>
      </c>
      <c r="I718" s="38">
        <v>695</v>
      </c>
      <c r="J718" s="38">
        <v>50</v>
      </c>
      <c r="K718" s="39"/>
      <c r="L718" s="39"/>
      <c r="M718" s="39"/>
      <c r="N718" s="39"/>
      <c r="O718" s="39"/>
      <c r="P718" s="39"/>
      <c r="Q718" s="39"/>
      <c r="R718" s="39"/>
      <c r="S718" s="39"/>
      <c r="T718" s="39"/>
    </row>
    <row r="719" spans="1:20" ht="15.75">
      <c r="A719" s="13">
        <v>63036</v>
      </c>
      <c r="B719" s="47">
        <f t="shared" si="1"/>
        <v>31</v>
      </c>
      <c r="C719" s="38">
        <v>194.20500000000001</v>
      </c>
      <c r="D719" s="38">
        <v>267.46600000000001</v>
      </c>
      <c r="E719" s="44">
        <v>812.32899999999995</v>
      </c>
      <c r="F719" s="38">
        <v>1274</v>
      </c>
      <c r="G719" s="38">
        <v>50</v>
      </c>
      <c r="H719" s="46">
        <v>600</v>
      </c>
      <c r="I719" s="38">
        <v>695</v>
      </c>
      <c r="J719" s="38">
        <v>0</v>
      </c>
      <c r="K719" s="39"/>
      <c r="L719" s="39"/>
      <c r="M719" s="39"/>
      <c r="N719" s="39"/>
      <c r="O719" s="39"/>
      <c r="P719" s="39"/>
      <c r="Q719" s="39"/>
      <c r="R719" s="39"/>
      <c r="S719" s="39"/>
      <c r="T719" s="39"/>
    </row>
    <row r="720" spans="1:20" ht="15.75">
      <c r="A720" s="13">
        <v>63067</v>
      </c>
      <c r="B720" s="47">
        <f t="shared" si="1"/>
        <v>31</v>
      </c>
      <c r="C720" s="38">
        <v>194.20500000000001</v>
      </c>
      <c r="D720" s="38">
        <v>267.46600000000001</v>
      </c>
      <c r="E720" s="44">
        <v>812.32899999999995</v>
      </c>
      <c r="F720" s="38">
        <v>1274</v>
      </c>
      <c r="G720" s="38">
        <v>50</v>
      </c>
      <c r="H720" s="46">
        <v>600</v>
      </c>
      <c r="I720" s="38">
        <v>695</v>
      </c>
      <c r="J720" s="38">
        <v>0</v>
      </c>
      <c r="K720" s="39"/>
      <c r="L720" s="39"/>
      <c r="M720" s="39"/>
      <c r="N720" s="39"/>
      <c r="O720" s="39"/>
      <c r="P720" s="39"/>
      <c r="Q720" s="39"/>
      <c r="R720" s="39"/>
      <c r="S720" s="39"/>
      <c r="T720" s="39"/>
    </row>
    <row r="721" spans="1:20" ht="15.75">
      <c r="A721" s="13">
        <v>63097</v>
      </c>
      <c r="B721" s="47">
        <f t="shared" ref="B721:B784" si="2">EOMONTH(A721,0)-EOMONTH(A721,-1)</f>
        <v>30</v>
      </c>
      <c r="C721" s="38">
        <v>194.20500000000001</v>
      </c>
      <c r="D721" s="38">
        <v>267.46600000000001</v>
      </c>
      <c r="E721" s="44">
        <v>812.32899999999995</v>
      </c>
      <c r="F721" s="38">
        <v>1274</v>
      </c>
      <c r="G721" s="38">
        <v>50</v>
      </c>
      <c r="H721" s="46">
        <v>600</v>
      </c>
      <c r="I721" s="38">
        <v>695</v>
      </c>
      <c r="J721" s="38">
        <v>0</v>
      </c>
      <c r="K721" s="39"/>
      <c r="L721" s="39"/>
      <c r="M721" s="39"/>
      <c r="N721" s="39"/>
      <c r="O721" s="39"/>
      <c r="P721" s="39"/>
      <c r="Q721" s="39"/>
      <c r="R721" s="39"/>
      <c r="S721" s="39"/>
      <c r="T721" s="39"/>
    </row>
    <row r="722" spans="1:20" ht="15.75">
      <c r="A722" s="13">
        <v>63128</v>
      </c>
      <c r="B722" s="47">
        <f t="shared" si="2"/>
        <v>31</v>
      </c>
      <c r="C722" s="38">
        <v>131.881</v>
      </c>
      <c r="D722" s="38">
        <v>277.16699999999997</v>
      </c>
      <c r="E722" s="44">
        <v>829.952</v>
      </c>
      <c r="F722" s="38">
        <v>1239</v>
      </c>
      <c r="G722" s="38">
        <v>75</v>
      </c>
      <c r="H722" s="46">
        <v>600</v>
      </c>
      <c r="I722" s="38">
        <v>695</v>
      </c>
      <c r="J722" s="38">
        <v>0</v>
      </c>
      <c r="K722" s="39"/>
      <c r="L722" s="39"/>
      <c r="M722" s="39"/>
      <c r="N722" s="39"/>
      <c r="O722" s="39"/>
      <c r="P722" s="39"/>
      <c r="Q722" s="39"/>
      <c r="R722" s="39"/>
      <c r="S722" s="39"/>
      <c r="T722" s="39"/>
    </row>
    <row r="723" spans="1:20" ht="15.75">
      <c r="A723" s="13">
        <v>63158</v>
      </c>
      <c r="B723" s="47">
        <f t="shared" si="2"/>
        <v>30</v>
      </c>
      <c r="C723" s="38">
        <v>122.58</v>
      </c>
      <c r="D723" s="38">
        <v>297.94099999999997</v>
      </c>
      <c r="E723" s="44">
        <v>729.47900000000004</v>
      </c>
      <c r="F723" s="38">
        <v>1150</v>
      </c>
      <c r="G723" s="38">
        <v>100</v>
      </c>
      <c r="H723" s="46">
        <v>600</v>
      </c>
      <c r="I723" s="38">
        <v>695</v>
      </c>
      <c r="J723" s="38">
        <v>50</v>
      </c>
      <c r="K723" s="39"/>
      <c r="L723" s="39"/>
      <c r="M723" s="39"/>
      <c r="N723" s="39"/>
      <c r="O723" s="39"/>
      <c r="P723" s="39"/>
      <c r="Q723" s="39"/>
      <c r="R723" s="39"/>
      <c r="S723" s="39"/>
      <c r="T723" s="39"/>
    </row>
    <row r="724" spans="1:20" ht="15.75">
      <c r="A724" s="13">
        <v>63189</v>
      </c>
      <c r="B724" s="47">
        <f t="shared" si="2"/>
        <v>31</v>
      </c>
      <c r="C724" s="38">
        <v>122.58</v>
      </c>
      <c r="D724" s="38">
        <v>297.94099999999997</v>
      </c>
      <c r="E724" s="44">
        <v>729.47900000000004</v>
      </c>
      <c r="F724" s="38">
        <v>1150</v>
      </c>
      <c r="G724" s="38">
        <v>100</v>
      </c>
      <c r="H724" s="46">
        <v>600</v>
      </c>
      <c r="I724" s="38">
        <v>695</v>
      </c>
      <c r="J724" s="38">
        <v>50</v>
      </c>
      <c r="K724" s="39"/>
      <c r="L724" s="39"/>
      <c r="M724" s="39"/>
      <c r="N724" s="39"/>
      <c r="O724" s="39"/>
      <c r="P724" s="39"/>
      <c r="Q724" s="39"/>
      <c r="R724" s="39"/>
      <c r="S724" s="39"/>
      <c r="T724" s="39"/>
    </row>
    <row r="725" spans="1:20" ht="15.75">
      <c r="A725" s="13">
        <v>63220</v>
      </c>
      <c r="B725" s="47">
        <f t="shared" si="2"/>
        <v>31</v>
      </c>
      <c r="C725" s="38">
        <v>122.58</v>
      </c>
      <c r="D725" s="38">
        <v>297.94099999999997</v>
      </c>
      <c r="E725" s="44">
        <v>729.47900000000004</v>
      </c>
      <c r="F725" s="38">
        <v>1150</v>
      </c>
      <c r="G725" s="38">
        <v>100</v>
      </c>
      <c r="H725" s="46">
        <v>600</v>
      </c>
      <c r="I725" s="38">
        <v>695</v>
      </c>
      <c r="J725" s="38">
        <v>50</v>
      </c>
      <c r="K725" s="39"/>
      <c r="L725" s="39"/>
      <c r="M725" s="39"/>
      <c r="N725" s="39"/>
      <c r="O725" s="39"/>
      <c r="P725" s="39"/>
      <c r="Q725" s="39"/>
      <c r="R725" s="39"/>
      <c r="S725" s="39"/>
      <c r="T725" s="39"/>
    </row>
    <row r="726" spans="1:20" ht="15.75">
      <c r="A726" s="13">
        <v>63248</v>
      </c>
      <c r="B726" s="47">
        <f t="shared" si="2"/>
        <v>28</v>
      </c>
      <c r="C726" s="38">
        <v>122.58</v>
      </c>
      <c r="D726" s="38">
        <v>297.94099999999997</v>
      </c>
      <c r="E726" s="44">
        <v>729.47900000000004</v>
      </c>
      <c r="F726" s="38">
        <v>1150</v>
      </c>
      <c r="G726" s="38">
        <v>100</v>
      </c>
      <c r="H726" s="46">
        <v>600</v>
      </c>
      <c r="I726" s="38">
        <v>695</v>
      </c>
      <c r="J726" s="38">
        <v>50</v>
      </c>
      <c r="K726" s="39"/>
      <c r="L726" s="39"/>
      <c r="M726" s="39"/>
      <c r="N726" s="39"/>
      <c r="O726" s="39"/>
      <c r="P726" s="39"/>
      <c r="Q726" s="39"/>
      <c r="R726" s="39"/>
      <c r="S726" s="39"/>
      <c r="T726" s="39"/>
    </row>
    <row r="727" spans="1:20" ht="15.75">
      <c r="A727" s="13">
        <v>63279</v>
      </c>
      <c r="B727" s="47">
        <f t="shared" si="2"/>
        <v>31</v>
      </c>
      <c r="C727" s="38">
        <v>122.58</v>
      </c>
      <c r="D727" s="38">
        <v>297.94099999999997</v>
      </c>
      <c r="E727" s="44">
        <v>729.47900000000004</v>
      </c>
      <c r="F727" s="38">
        <v>1150</v>
      </c>
      <c r="G727" s="38">
        <v>100</v>
      </c>
      <c r="H727" s="46">
        <v>600</v>
      </c>
      <c r="I727" s="38">
        <v>695</v>
      </c>
      <c r="J727" s="38">
        <v>50</v>
      </c>
      <c r="K727" s="39"/>
      <c r="L727" s="39"/>
      <c r="M727" s="39"/>
      <c r="N727" s="39"/>
      <c r="O727" s="39"/>
      <c r="P727" s="39"/>
      <c r="Q727" s="39"/>
      <c r="R727" s="39"/>
      <c r="S727" s="39"/>
      <c r="T727" s="39"/>
    </row>
    <row r="728" spans="1:20" ht="15.75">
      <c r="A728" s="13">
        <v>63309</v>
      </c>
      <c r="B728" s="47">
        <f t="shared" si="2"/>
        <v>30</v>
      </c>
      <c r="C728" s="38">
        <v>141.29300000000001</v>
      </c>
      <c r="D728" s="38">
        <v>267.99299999999999</v>
      </c>
      <c r="E728" s="44">
        <v>829.71400000000006</v>
      </c>
      <c r="F728" s="38">
        <v>1239</v>
      </c>
      <c r="G728" s="38">
        <v>100</v>
      </c>
      <c r="H728" s="46">
        <v>600</v>
      </c>
      <c r="I728" s="38">
        <v>695</v>
      </c>
      <c r="J728" s="38">
        <v>50</v>
      </c>
      <c r="K728" s="39"/>
      <c r="L728" s="39"/>
      <c r="M728" s="39"/>
      <c r="N728" s="39"/>
      <c r="O728" s="39"/>
      <c r="P728" s="39"/>
      <c r="Q728" s="39"/>
      <c r="R728" s="39"/>
      <c r="S728" s="39"/>
      <c r="T728" s="39"/>
    </row>
    <row r="729" spans="1:20" ht="15.75">
      <c r="A729" s="13">
        <v>63340</v>
      </c>
      <c r="B729" s="47">
        <f t="shared" si="2"/>
        <v>31</v>
      </c>
      <c r="C729" s="38">
        <v>194.20500000000001</v>
      </c>
      <c r="D729" s="38">
        <v>267.46600000000001</v>
      </c>
      <c r="E729" s="44">
        <v>812.32899999999995</v>
      </c>
      <c r="F729" s="38">
        <v>1274</v>
      </c>
      <c r="G729" s="38">
        <v>75</v>
      </c>
      <c r="H729" s="46">
        <v>600</v>
      </c>
      <c r="I729" s="38">
        <v>695</v>
      </c>
      <c r="J729" s="38">
        <v>50</v>
      </c>
      <c r="K729" s="39"/>
      <c r="L729" s="39"/>
      <c r="M729" s="39"/>
      <c r="N729" s="39"/>
      <c r="O729" s="39"/>
      <c r="P729" s="39"/>
      <c r="Q729" s="39"/>
      <c r="R729" s="39"/>
      <c r="S729" s="39"/>
      <c r="T729" s="39"/>
    </row>
    <row r="730" spans="1:20" ht="15.75">
      <c r="A730" s="13">
        <v>63370</v>
      </c>
      <c r="B730" s="47">
        <f t="shared" si="2"/>
        <v>30</v>
      </c>
      <c r="C730" s="38">
        <v>194.20500000000001</v>
      </c>
      <c r="D730" s="38">
        <v>267.46600000000001</v>
      </c>
      <c r="E730" s="44">
        <v>812.32899999999995</v>
      </c>
      <c r="F730" s="38">
        <v>1274</v>
      </c>
      <c r="G730" s="38">
        <v>50</v>
      </c>
      <c r="H730" s="46">
        <v>600</v>
      </c>
      <c r="I730" s="38">
        <v>695</v>
      </c>
      <c r="J730" s="38">
        <v>50</v>
      </c>
      <c r="K730" s="39"/>
      <c r="L730" s="39"/>
      <c r="M730" s="39"/>
      <c r="N730" s="39"/>
      <c r="O730" s="39"/>
      <c r="P730" s="39"/>
      <c r="Q730" s="39"/>
      <c r="R730" s="39"/>
      <c r="S730" s="39"/>
      <c r="T730" s="39"/>
    </row>
    <row r="731" spans="1:20" ht="15.75">
      <c r="A731" s="13">
        <v>63401</v>
      </c>
      <c r="B731" s="47">
        <f t="shared" si="2"/>
        <v>31</v>
      </c>
      <c r="C731" s="38">
        <v>194.20500000000001</v>
      </c>
      <c r="D731" s="38">
        <v>267.46600000000001</v>
      </c>
      <c r="E731" s="44">
        <v>812.32899999999995</v>
      </c>
      <c r="F731" s="38">
        <v>1274</v>
      </c>
      <c r="G731" s="38">
        <v>50</v>
      </c>
      <c r="H731" s="46">
        <v>600</v>
      </c>
      <c r="I731" s="38">
        <v>695</v>
      </c>
      <c r="J731" s="38">
        <v>0</v>
      </c>
      <c r="K731" s="39"/>
      <c r="L731" s="39"/>
      <c r="M731" s="39"/>
      <c r="N731" s="39"/>
      <c r="O731" s="39"/>
      <c r="P731" s="39"/>
      <c r="Q731" s="39"/>
      <c r="R731" s="39"/>
      <c r="S731" s="39"/>
      <c r="T731" s="39"/>
    </row>
    <row r="732" spans="1:20" ht="15.75">
      <c r="A732" s="13">
        <v>63432</v>
      </c>
      <c r="B732" s="47">
        <f t="shared" si="2"/>
        <v>31</v>
      </c>
      <c r="C732" s="38">
        <v>194.20500000000001</v>
      </c>
      <c r="D732" s="38">
        <v>267.46600000000001</v>
      </c>
      <c r="E732" s="44">
        <v>812.32899999999995</v>
      </c>
      <c r="F732" s="38">
        <v>1274</v>
      </c>
      <c r="G732" s="38">
        <v>50</v>
      </c>
      <c r="H732" s="46">
        <v>600</v>
      </c>
      <c r="I732" s="38">
        <v>695</v>
      </c>
      <c r="J732" s="38">
        <v>0</v>
      </c>
      <c r="K732" s="39"/>
      <c r="L732" s="39"/>
      <c r="M732" s="39"/>
      <c r="N732" s="39"/>
      <c r="O732" s="39"/>
      <c r="P732" s="39"/>
      <c r="Q732" s="39"/>
      <c r="R732" s="39"/>
      <c r="S732" s="39"/>
      <c r="T732" s="39"/>
    </row>
    <row r="733" spans="1:20" ht="15.75">
      <c r="A733" s="13">
        <v>63462</v>
      </c>
      <c r="B733" s="47">
        <f t="shared" si="2"/>
        <v>30</v>
      </c>
      <c r="C733" s="38">
        <v>194.20500000000001</v>
      </c>
      <c r="D733" s="38">
        <v>267.46600000000001</v>
      </c>
      <c r="E733" s="44">
        <v>812.32899999999995</v>
      </c>
      <c r="F733" s="38">
        <v>1274</v>
      </c>
      <c r="G733" s="38">
        <v>50</v>
      </c>
      <c r="H733" s="46">
        <v>600</v>
      </c>
      <c r="I733" s="38">
        <v>695</v>
      </c>
      <c r="J733" s="38">
        <v>0</v>
      </c>
      <c r="K733" s="39"/>
      <c r="L733" s="39"/>
      <c r="M733" s="39"/>
      <c r="N733" s="39"/>
      <c r="O733" s="39"/>
      <c r="P733" s="39"/>
      <c r="Q733" s="39"/>
      <c r="R733" s="39"/>
      <c r="S733" s="39"/>
      <c r="T733" s="39"/>
    </row>
    <row r="734" spans="1:20" ht="15.75">
      <c r="A734" s="13">
        <v>63493</v>
      </c>
      <c r="B734" s="47">
        <f t="shared" si="2"/>
        <v>31</v>
      </c>
      <c r="C734" s="38">
        <v>131.881</v>
      </c>
      <c r="D734" s="38">
        <v>277.16699999999997</v>
      </c>
      <c r="E734" s="44">
        <v>829.952</v>
      </c>
      <c r="F734" s="38">
        <v>1239</v>
      </c>
      <c r="G734" s="38">
        <v>75</v>
      </c>
      <c r="H734" s="46">
        <v>600</v>
      </c>
      <c r="I734" s="38">
        <v>695</v>
      </c>
      <c r="J734" s="38">
        <v>0</v>
      </c>
      <c r="K734" s="39"/>
      <c r="L734" s="39"/>
      <c r="M734" s="39"/>
      <c r="N734" s="39"/>
      <c r="O734" s="39"/>
      <c r="P734" s="39"/>
      <c r="Q734" s="39"/>
      <c r="R734" s="39"/>
      <c r="S734" s="39"/>
      <c r="T734" s="39"/>
    </row>
    <row r="735" spans="1:20" ht="15.75">
      <c r="A735" s="13">
        <v>63523</v>
      </c>
      <c r="B735" s="47">
        <f t="shared" si="2"/>
        <v>30</v>
      </c>
      <c r="C735" s="38">
        <v>122.58</v>
      </c>
      <c r="D735" s="38">
        <v>297.94099999999997</v>
      </c>
      <c r="E735" s="44">
        <v>729.47900000000004</v>
      </c>
      <c r="F735" s="38">
        <v>1150</v>
      </c>
      <c r="G735" s="38">
        <v>100</v>
      </c>
      <c r="H735" s="46">
        <v>600</v>
      </c>
      <c r="I735" s="38">
        <v>695</v>
      </c>
      <c r="J735" s="38">
        <v>50</v>
      </c>
      <c r="K735" s="39"/>
      <c r="L735" s="39"/>
      <c r="M735" s="39"/>
      <c r="N735" s="39"/>
      <c r="O735" s="39"/>
      <c r="P735" s="39"/>
      <c r="Q735" s="39"/>
      <c r="R735" s="39"/>
      <c r="S735" s="39"/>
      <c r="T735" s="39"/>
    </row>
    <row r="736" spans="1:20" ht="15.75">
      <c r="A736" s="13">
        <v>63554</v>
      </c>
      <c r="B736" s="47">
        <f t="shared" si="2"/>
        <v>31</v>
      </c>
      <c r="C736" s="38">
        <v>122.58</v>
      </c>
      <c r="D736" s="38">
        <v>297.94099999999997</v>
      </c>
      <c r="E736" s="44">
        <v>729.47900000000004</v>
      </c>
      <c r="F736" s="38">
        <v>1150</v>
      </c>
      <c r="G736" s="38">
        <v>100</v>
      </c>
      <c r="H736" s="46">
        <v>600</v>
      </c>
      <c r="I736" s="38">
        <v>695</v>
      </c>
      <c r="J736" s="38">
        <v>50</v>
      </c>
      <c r="K736" s="39"/>
      <c r="L736" s="39"/>
      <c r="M736" s="39"/>
      <c r="N736" s="39"/>
      <c r="O736" s="39"/>
      <c r="P736" s="39"/>
      <c r="Q736" s="39"/>
      <c r="R736" s="39"/>
      <c r="S736" s="39"/>
      <c r="T736" s="39"/>
    </row>
    <row r="737" spans="1:20" ht="15.75">
      <c r="A737" s="13">
        <v>63585</v>
      </c>
      <c r="B737" s="47">
        <f t="shared" si="2"/>
        <v>31</v>
      </c>
      <c r="C737" s="38">
        <v>122.58</v>
      </c>
      <c r="D737" s="38">
        <v>297.94099999999997</v>
      </c>
      <c r="E737" s="44">
        <v>729.47900000000004</v>
      </c>
      <c r="F737" s="38">
        <v>1150</v>
      </c>
      <c r="G737" s="38">
        <v>100</v>
      </c>
      <c r="H737" s="46">
        <v>600</v>
      </c>
      <c r="I737" s="38">
        <v>695</v>
      </c>
      <c r="J737" s="38">
        <v>50</v>
      </c>
      <c r="K737" s="39"/>
      <c r="L737" s="39"/>
      <c r="M737" s="39"/>
      <c r="N737" s="39"/>
      <c r="O737" s="39"/>
      <c r="P737" s="39"/>
      <c r="Q737" s="39"/>
      <c r="R737" s="39"/>
      <c r="S737" s="39"/>
      <c r="T737" s="39"/>
    </row>
    <row r="738" spans="1:20" ht="15.75">
      <c r="A738" s="13">
        <v>63613</v>
      </c>
      <c r="B738" s="47">
        <f t="shared" si="2"/>
        <v>28</v>
      </c>
      <c r="C738" s="38">
        <v>122.58</v>
      </c>
      <c r="D738" s="38">
        <v>297.94099999999997</v>
      </c>
      <c r="E738" s="44">
        <v>729.47900000000004</v>
      </c>
      <c r="F738" s="38">
        <v>1150</v>
      </c>
      <c r="G738" s="38">
        <v>100</v>
      </c>
      <c r="H738" s="46">
        <v>600</v>
      </c>
      <c r="I738" s="38">
        <v>695</v>
      </c>
      <c r="J738" s="38">
        <v>50</v>
      </c>
      <c r="K738" s="39"/>
      <c r="L738" s="39"/>
      <c r="M738" s="39"/>
      <c r="N738" s="39"/>
      <c r="O738" s="39"/>
      <c r="P738" s="39"/>
      <c r="Q738" s="39"/>
      <c r="R738" s="39"/>
      <c r="S738" s="39"/>
      <c r="T738" s="39"/>
    </row>
    <row r="739" spans="1:20" ht="15.75">
      <c r="A739" s="13">
        <v>63644</v>
      </c>
      <c r="B739" s="47">
        <f t="shared" si="2"/>
        <v>31</v>
      </c>
      <c r="C739" s="38">
        <v>122.58</v>
      </c>
      <c r="D739" s="38">
        <v>297.94099999999997</v>
      </c>
      <c r="E739" s="44">
        <v>729.47900000000004</v>
      </c>
      <c r="F739" s="38">
        <v>1150</v>
      </c>
      <c r="G739" s="38">
        <v>100</v>
      </c>
      <c r="H739" s="46">
        <v>600</v>
      </c>
      <c r="I739" s="38">
        <v>695</v>
      </c>
      <c r="J739" s="38">
        <v>50</v>
      </c>
      <c r="K739" s="39"/>
      <c r="L739" s="39"/>
      <c r="M739" s="39"/>
      <c r="N739" s="39"/>
      <c r="O739" s="39"/>
      <c r="P739" s="39"/>
      <c r="Q739" s="39"/>
      <c r="R739" s="39"/>
      <c r="S739" s="39"/>
      <c r="T739" s="39"/>
    </row>
    <row r="740" spans="1:20" ht="15.75">
      <c r="A740" s="13">
        <v>63674</v>
      </c>
      <c r="B740" s="47">
        <f t="shared" si="2"/>
        <v>30</v>
      </c>
      <c r="C740" s="38">
        <v>141.29300000000001</v>
      </c>
      <c r="D740" s="38">
        <v>267.99299999999999</v>
      </c>
      <c r="E740" s="44">
        <v>829.71400000000006</v>
      </c>
      <c r="F740" s="38">
        <v>1239</v>
      </c>
      <c r="G740" s="38">
        <v>100</v>
      </c>
      <c r="H740" s="46">
        <v>600</v>
      </c>
      <c r="I740" s="38">
        <v>695</v>
      </c>
      <c r="J740" s="38">
        <v>50</v>
      </c>
      <c r="K740" s="39"/>
      <c r="L740" s="39"/>
      <c r="M740" s="39"/>
      <c r="N740" s="39"/>
      <c r="O740" s="39"/>
      <c r="P740" s="39"/>
      <c r="Q740" s="39"/>
      <c r="R740" s="39"/>
      <c r="S740" s="39"/>
      <c r="T740" s="39"/>
    </row>
    <row r="741" spans="1:20" ht="15.75">
      <c r="A741" s="13">
        <v>63705</v>
      </c>
      <c r="B741" s="47">
        <f t="shared" si="2"/>
        <v>31</v>
      </c>
      <c r="C741" s="38">
        <v>194.20500000000001</v>
      </c>
      <c r="D741" s="38">
        <v>267.46600000000001</v>
      </c>
      <c r="E741" s="44">
        <v>812.32899999999995</v>
      </c>
      <c r="F741" s="38">
        <v>1274</v>
      </c>
      <c r="G741" s="38">
        <v>75</v>
      </c>
      <c r="H741" s="46">
        <v>600</v>
      </c>
      <c r="I741" s="38">
        <v>695</v>
      </c>
      <c r="J741" s="38">
        <v>50</v>
      </c>
      <c r="K741" s="39"/>
      <c r="L741" s="39"/>
      <c r="M741" s="39"/>
      <c r="N741" s="39"/>
      <c r="O741" s="39"/>
      <c r="P741" s="39"/>
      <c r="Q741" s="39"/>
      <c r="R741" s="39"/>
      <c r="S741" s="39"/>
      <c r="T741" s="39"/>
    </row>
    <row r="742" spans="1:20" ht="15.75">
      <c r="A742" s="13">
        <v>63735</v>
      </c>
      <c r="B742" s="47">
        <f t="shared" si="2"/>
        <v>30</v>
      </c>
      <c r="C742" s="38">
        <v>194.20500000000001</v>
      </c>
      <c r="D742" s="38">
        <v>267.46600000000001</v>
      </c>
      <c r="E742" s="44">
        <v>812.32899999999995</v>
      </c>
      <c r="F742" s="38">
        <v>1274</v>
      </c>
      <c r="G742" s="38">
        <v>50</v>
      </c>
      <c r="H742" s="46">
        <v>600</v>
      </c>
      <c r="I742" s="38">
        <v>695</v>
      </c>
      <c r="J742" s="38">
        <v>50</v>
      </c>
      <c r="K742" s="39"/>
      <c r="L742" s="39"/>
      <c r="M742" s="39"/>
      <c r="N742" s="39"/>
      <c r="O742" s="39"/>
      <c r="P742" s="39"/>
      <c r="Q742" s="39"/>
      <c r="R742" s="39"/>
      <c r="S742" s="39"/>
      <c r="T742" s="39"/>
    </row>
    <row r="743" spans="1:20" ht="15.75">
      <c r="A743" s="13">
        <v>63766</v>
      </c>
      <c r="B743" s="47">
        <f t="shared" si="2"/>
        <v>31</v>
      </c>
      <c r="C743" s="38">
        <v>194.20500000000001</v>
      </c>
      <c r="D743" s="38">
        <v>267.46600000000001</v>
      </c>
      <c r="E743" s="44">
        <v>812.32899999999995</v>
      </c>
      <c r="F743" s="38">
        <v>1274</v>
      </c>
      <c r="G743" s="38">
        <v>50</v>
      </c>
      <c r="H743" s="46">
        <v>600</v>
      </c>
      <c r="I743" s="38">
        <v>695</v>
      </c>
      <c r="J743" s="38">
        <v>0</v>
      </c>
      <c r="K743" s="39"/>
      <c r="L743" s="39"/>
      <c r="M743" s="39"/>
      <c r="N743" s="39"/>
      <c r="O743" s="39"/>
      <c r="P743" s="39"/>
      <c r="Q743" s="39"/>
      <c r="R743" s="39"/>
      <c r="S743" s="39"/>
      <c r="T743" s="39"/>
    </row>
    <row r="744" spans="1:20" ht="15.75">
      <c r="A744" s="13">
        <v>63797</v>
      </c>
      <c r="B744" s="47">
        <f t="shared" si="2"/>
        <v>31</v>
      </c>
      <c r="C744" s="38">
        <v>194.20500000000001</v>
      </c>
      <c r="D744" s="38">
        <v>267.46600000000001</v>
      </c>
      <c r="E744" s="44">
        <v>812.32899999999995</v>
      </c>
      <c r="F744" s="38">
        <v>1274</v>
      </c>
      <c r="G744" s="38">
        <v>50</v>
      </c>
      <c r="H744" s="46">
        <v>600</v>
      </c>
      <c r="I744" s="38">
        <v>695</v>
      </c>
      <c r="J744" s="38">
        <v>0</v>
      </c>
      <c r="K744" s="39"/>
      <c r="L744" s="39"/>
      <c r="M744" s="39"/>
      <c r="N744" s="39"/>
      <c r="O744" s="39"/>
      <c r="P744" s="39"/>
      <c r="Q744" s="39"/>
      <c r="R744" s="39"/>
      <c r="S744" s="39"/>
      <c r="T744" s="39"/>
    </row>
    <row r="745" spans="1:20" ht="15.75">
      <c r="A745" s="13">
        <v>63827</v>
      </c>
      <c r="B745" s="47">
        <f t="shared" si="2"/>
        <v>30</v>
      </c>
      <c r="C745" s="38">
        <v>194.20500000000001</v>
      </c>
      <c r="D745" s="38">
        <v>267.46600000000001</v>
      </c>
      <c r="E745" s="44">
        <v>812.32899999999995</v>
      </c>
      <c r="F745" s="38">
        <v>1274</v>
      </c>
      <c r="G745" s="38">
        <v>50</v>
      </c>
      <c r="H745" s="46">
        <v>600</v>
      </c>
      <c r="I745" s="38">
        <v>695</v>
      </c>
      <c r="J745" s="38">
        <v>0</v>
      </c>
      <c r="K745" s="39"/>
      <c r="L745" s="39"/>
      <c r="M745" s="39"/>
      <c r="N745" s="39"/>
      <c r="O745" s="39"/>
      <c r="P745" s="39"/>
      <c r="Q745" s="39"/>
      <c r="R745" s="39"/>
      <c r="S745" s="39"/>
      <c r="T745" s="39"/>
    </row>
    <row r="746" spans="1:20" ht="15.75">
      <c r="A746" s="13">
        <v>63858</v>
      </c>
      <c r="B746" s="47">
        <f t="shared" si="2"/>
        <v>31</v>
      </c>
      <c r="C746" s="38">
        <v>131.881</v>
      </c>
      <c r="D746" s="38">
        <v>277.16699999999997</v>
      </c>
      <c r="E746" s="44">
        <v>829.952</v>
      </c>
      <c r="F746" s="38">
        <v>1239</v>
      </c>
      <c r="G746" s="38">
        <v>75</v>
      </c>
      <c r="H746" s="46">
        <v>600</v>
      </c>
      <c r="I746" s="38">
        <v>695</v>
      </c>
      <c r="J746" s="38">
        <v>0</v>
      </c>
      <c r="K746" s="39"/>
      <c r="L746" s="39"/>
      <c r="M746" s="39"/>
      <c r="N746" s="39"/>
      <c r="O746" s="39"/>
      <c r="P746" s="39"/>
      <c r="Q746" s="39"/>
      <c r="R746" s="39"/>
      <c r="S746" s="39"/>
      <c r="T746" s="39"/>
    </row>
    <row r="747" spans="1:20" ht="15.75">
      <c r="A747" s="13">
        <v>63888</v>
      </c>
      <c r="B747" s="47">
        <f t="shared" si="2"/>
        <v>30</v>
      </c>
      <c r="C747" s="38">
        <v>122.58</v>
      </c>
      <c r="D747" s="38">
        <v>297.94099999999997</v>
      </c>
      <c r="E747" s="44">
        <v>729.47900000000004</v>
      </c>
      <c r="F747" s="38">
        <v>1150</v>
      </c>
      <c r="G747" s="38">
        <v>100</v>
      </c>
      <c r="H747" s="46">
        <v>600</v>
      </c>
      <c r="I747" s="38">
        <v>695</v>
      </c>
      <c r="J747" s="38">
        <v>50</v>
      </c>
      <c r="K747" s="39"/>
      <c r="L747" s="39"/>
      <c r="M747" s="39"/>
      <c r="N747" s="39"/>
      <c r="O747" s="39"/>
      <c r="P747" s="39"/>
      <c r="Q747" s="39"/>
      <c r="R747" s="39"/>
      <c r="S747" s="39"/>
      <c r="T747" s="39"/>
    </row>
    <row r="748" spans="1:20" ht="15.75">
      <c r="A748" s="13">
        <v>63919</v>
      </c>
      <c r="B748" s="47">
        <f t="shared" si="2"/>
        <v>31</v>
      </c>
      <c r="C748" s="38">
        <v>122.58</v>
      </c>
      <c r="D748" s="38">
        <v>297.94099999999997</v>
      </c>
      <c r="E748" s="44">
        <v>729.47900000000004</v>
      </c>
      <c r="F748" s="38">
        <v>1150</v>
      </c>
      <c r="G748" s="38">
        <v>100</v>
      </c>
      <c r="H748" s="46">
        <v>600</v>
      </c>
      <c r="I748" s="38">
        <v>695</v>
      </c>
      <c r="J748" s="38">
        <v>50</v>
      </c>
      <c r="K748" s="39"/>
      <c r="L748" s="39"/>
      <c r="M748" s="39"/>
      <c r="N748" s="39"/>
      <c r="O748" s="39"/>
      <c r="P748" s="39"/>
      <c r="Q748" s="39"/>
      <c r="R748" s="39"/>
      <c r="S748" s="39"/>
      <c r="T748" s="39"/>
    </row>
    <row r="749" spans="1:20" ht="15.75">
      <c r="A749" s="13">
        <v>63950</v>
      </c>
      <c r="B749" s="47">
        <f t="shared" si="2"/>
        <v>31</v>
      </c>
      <c r="C749" s="38">
        <v>122.58</v>
      </c>
      <c r="D749" s="38">
        <v>297.94099999999997</v>
      </c>
      <c r="E749" s="44">
        <v>729.47900000000004</v>
      </c>
      <c r="F749" s="38">
        <v>1150</v>
      </c>
      <c r="G749" s="38">
        <v>100</v>
      </c>
      <c r="H749" s="46">
        <v>600</v>
      </c>
      <c r="I749" s="38">
        <v>695</v>
      </c>
      <c r="J749" s="38">
        <v>50</v>
      </c>
      <c r="K749" s="39"/>
      <c r="L749" s="39"/>
      <c r="M749" s="39"/>
      <c r="N749" s="39"/>
      <c r="O749" s="39"/>
      <c r="P749" s="39"/>
      <c r="Q749" s="39"/>
      <c r="R749" s="39"/>
      <c r="S749" s="39"/>
      <c r="T749" s="39"/>
    </row>
    <row r="750" spans="1:20" ht="15.75">
      <c r="A750" s="13">
        <v>63978</v>
      </c>
      <c r="B750" s="47">
        <f t="shared" si="2"/>
        <v>28</v>
      </c>
      <c r="C750" s="38">
        <v>122.58</v>
      </c>
      <c r="D750" s="38">
        <v>297.94099999999997</v>
      </c>
      <c r="E750" s="44">
        <v>729.47900000000004</v>
      </c>
      <c r="F750" s="38">
        <v>1150</v>
      </c>
      <c r="G750" s="38">
        <v>100</v>
      </c>
      <c r="H750" s="46">
        <v>600</v>
      </c>
      <c r="I750" s="38">
        <v>695</v>
      </c>
      <c r="J750" s="38">
        <v>50</v>
      </c>
      <c r="K750" s="39"/>
      <c r="L750" s="39"/>
      <c r="M750" s="39"/>
      <c r="N750" s="39"/>
      <c r="O750" s="39"/>
      <c r="P750" s="39"/>
      <c r="Q750" s="39"/>
      <c r="R750" s="39"/>
      <c r="S750" s="39"/>
      <c r="T750" s="39"/>
    </row>
    <row r="751" spans="1:20" ht="15.75">
      <c r="A751" s="13">
        <v>64009</v>
      </c>
      <c r="B751" s="47">
        <f t="shared" si="2"/>
        <v>31</v>
      </c>
      <c r="C751" s="38">
        <v>122.58</v>
      </c>
      <c r="D751" s="38">
        <v>297.94099999999997</v>
      </c>
      <c r="E751" s="44">
        <v>729.47900000000004</v>
      </c>
      <c r="F751" s="38">
        <v>1150</v>
      </c>
      <c r="G751" s="38">
        <v>100</v>
      </c>
      <c r="H751" s="46">
        <v>600</v>
      </c>
      <c r="I751" s="38">
        <v>695</v>
      </c>
      <c r="J751" s="38">
        <v>50</v>
      </c>
      <c r="K751" s="39"/>
      <c r="L751" s="39"/>
      <c r="M751" s="39"/>
      <c r="N751" s="39"/>
      <c r="O751" s="39"/>
      <c r="P751" s="39"/>
      <c r="Q751" s="39"/>
      <c r="R751" s="39"/>
      <c r="S751" s="39"/>
      <c r="T751" s="39"/>
    </row>
    <row r="752" spans="1:20" ht="15.75">
      <c r="A752" s="13">
        <v>64039</v>
      </c>
      <c r="B752" s="47">
        <f t="shared" si="2"/>
        <v>30</v>
      </c>
      <c r="C752" s="38">
        <v>141.29300000000001</v>
      </c>
      <c r="D752" s="38">
        <v>267.99299999999999</v>
      </c>
      <c r="E752" s="44">
        <v>829.71400000000006</v>
      </c>
      <c r="F752" s="38">
        <v>1239</v>
      </c>
      <c r="G752" s="38">
        <v>100</v>
      </c>
      <c r="H752" s="46">
        <v>600</v>
      </c>
      <c r="I752" s="38">
        <v>695</v>
      </c>
      <c r="J752" s="38">
        <v>50</v>
      </c>
      <c r="K752" s="39"/>
      <c r="L752" s="39"/>
      <c r="M752" s="39"/>
      <c r="N752" s="39"/>
      <c r="O752" s="39"/>
      <c r="P752" s="39"/>
      <c r="Q752" s="39"/>
      <c r="R752" s="39"/>
      <c r="S752" s="39"/>
      <c r="T752" s="39"/>
    </row>
    <row r="753" spans="1:20" ht="15.75">
      <c r="A753" s="13">
        <v>64070</v>
      </c>
      <c r="B753" s="47">
        <f t="shared" si="2"/>
        <v>31</v>
      </c>
      <c r="C753" s="38">
        <v>194.20500000000001</v>
      </c>
      <c r="D753" s="38">
        <v>267.46600000000001</v>
      </c>
      <c r="E753" s="44">
        <v>812.32899999999995</v>
      </c>
      <c r="F753" s="38">
        <v>1274</v>
      </c>
      <c r="G753" s="38">
        <v>75</v>
      </c>
      <c r="H753" s="46">
        <v>600</v>
      </c>
      <c r="I753" s="38">
        <v>695</v>
      </c>
      <c r="J753" s="38">
        <v>50</v>
      </c>
      <c r="K753" s="39"/>
      <c r="L753" s="39"/>
      <c r="M753" s="39"/>
      <c r="N753" s="39"/>
      <c r="O753" s="39"/>
      <c r="P753" s="39"/>
      <c r="Q753" s="39"/>
      <c r="R753" s="39"/>
      <c r="S753" s="39"/>
      <c r="T753" s="39"/>
    </row>
    <row r="754" spans="1:20" ht="15.75">
      <c r="A754" s="13">
        <v>64100</v>
      </c>
      <c r="B754" s="47">
        <f t="shared" si="2"/>
        <v>30</v>
      </c>
      <c r="C754" s="38">
        <v>194.20500000000001</v>
      </c>
      <c r="D754" s="38">
        <v>267.46600000000001</v>
      </c>
      <c r="E754" s="44">
        <v>812.32899999999995</v>
      </c>
      <c r="F754" s="38">
        <v>1274</v>
      </c>
      <c r="G754" s="38">
        <v>50</v>
      </c>
      <c r="H754" s="46">
        <v>600</v>
      </c>
      <c r="I754" s="38">
        <v>695</v>
      </c>
      <c r="J754" s="38">
        <v>50</v>
      </c>
      <c r="K754" s="39"/>
      <c r="L754" s="39"/>
      <c r="M754" s="39"/>
      <c r="N754" s="39"/>
      <c r="O754" s="39"/>
      <c r="P754" s="39"/>
      <c r="Q754" s="39"/>
      <c r="R754" s="39"/>
      <c r="S754" s="39"/>
      <c r="T754" s="39"/>
    </row>
    <row r="755" spans="1:20" ht="15.75">
      <c r="A755" s="13">
        <v>64131</v>
      </c>
      <c r="B755" s="47">
        <f t="shared" si="2"/>
        <v>31</v>
      </c>
      <c r="C755" s="38">
        <v>194.20500000000001</v>
      </c>
      <c r="D755" s="38">
        <v>267.46600000000001</v>
      </c>
      <c r="E755" s="44">
        <v>812.32899999999995</v>
      </c>
      <c r="F755" s="38">
        <v>1274</v>
      </c>
      <c r="G755" s="38">
        <v>50</v>
      </c>
      <c r="H755" s="46">
        <v>600</v>
      </c>
      <c r="I755" s="38">
        <v>695</v>
      </c>
      <c r="J755" s="38">
        <v>0</v>
      </c>
      <c r="K755" s="39"/>
      <c r="L755" s="39"/>
      <c r="M755" s="39"/>
      <c r="N755" s="39"/>
      <c r="O755" s="39"/>
      <c r="P755" s="39"/>
      <c r="Q755" s="39"/>
      <c r="R755" s="39"/>
      <c r="S755" s="39"/>
      <c r="T755" s="39"/>
    </row>
    <row r="756" spans="1:20" ht="15.75">
      <c r="A756" s="13">
        <v>64162</v>
      </c>
      <c r="B756" s="47">
        <f t="shared" si="2"/>
        <v>31</v>
      </c>
      <c r="C756" s="38">
        <v>194.20500000000001</v>
      </c>
      <c r="D756" s="38">
        <v>267.46600000000001</v>
      </c>
      <c r="E756" s="44">
        <v>812.32899999999995</v>
      </c>
      <c r="F756" s="38">
        <v>1274</v>
      </c>
      <c r="G756" s="38">
        <v>50</v>
      </c>
      <c r="H756" s="46">
        <v>600</v>
      </c>
      <c r="I756" s="38">
        <v>695</v>
      </c>
      <c r="J756" s="38">
        <v>0</v>
      </c>
      <c r="K756" s="39"/>
      <c r="L756" s="39"/>
      <c r="M756" s="39"/>
      <c r="N756" s="39"/>
      <c r="O756" s="39"/>
      <c r="P756" s="39"/>
      <c r="Q756" s="39"/>
      <c r="R756" s="39"/>
      <c r="S756" s="39"/>
      <c r="T756" s="39"/>
    </row>
    <row r="757" spans="1:20" ht="15.75">
      <c r="A757" s="13">
        <v>64192</v>
      </c>
      <c r="B757" s="47">
        <f t="shared" si="2"/>
        <v>30</v>
      </c>
      <c r="C757" s="38">
        <v>194.20500000000001</v>
      </c>
      <c r="D757" s="38">
        <v>267.46600000000001</v>
      </c>
      <c r="E757" s="44">
        <v>812.32899999999995</v>
      </c>
      <c r="F757" s="38">
        <v>1274</v>
      </c>
      <c r="G757" s="38">
        <v>50</v>
      </c>
      <c r="H757" s="46">
        <v>600</v>
      </c>
      <c r="I757" s="38">
        <v>695</v>
      </c>
      <c r="J757" s="38">
        <v>0</v>
      </c>
      <c r="K757" s="39"/>
      <c r="L757" s="39"/>
      <c r="M757" s="39"/>
      <c r="N757" s="39"/>
      <c r="O757" s="39"/>
      <c r="P757" s="39"/>
      <c r="Q757" s="39"/>
      <c r="R757" s="39"/>
      <c r="S757" s="39"/>
      <c r="T757" s="39"/>
    </row>
    <row r="758" spans="1:20" ht="15.75">
      <c r="A758" s="13">
        <v>64223</v>
      </c>
      <c r="B758" s="47">
        <f t="shared" si="2"/>
        <v>31</v>
      </c>
      <c r="C758" s="38">
        <v>131.881</v>
      </c>
      <c r="D758" s="38">
        <v>277.16699999999997</v>
      </c>
      <c r="E758" s="44">
        <v>829.952</v>
      </c>
      <c r="F758" s="38">
        <v>1239</v>
      </c>
      <c r="G758" s="38">
        <v>75</v>
      </c>
      <c r="H758" s="46">
        <v>600</v>
      </c>
      <c r="I758" s="38">
        <v>695</v>
      </c>
      <c r="J758" s="38">
        <v>0</v>
      </c>
      <c r="K758" s="39"/>
      <c r="L758" s="39"/>
      <c r="M758" s="39"/>
      <c r="N758" s="39"/>
      <c r="O758" s="39"/>
      <c r="P758" s="39"/>
      <c r="Q758" s="39"/>
      <c r="R758" s="39"/>
      <c r="S758" s="39"/>
      <c r="T758" s="39"/>
    </row>
    <row r="759" spans="1:20" ht="15.75">
      <c r="A759" s="13">
        <v>64253</v>
      </c>
      <c r="B759" s="47">
        <f t="shared" si="2"/>
        <v>30</v>
      </c>
      <c r="C759" s="38">
        <v>122.58</v>
      </c>
      <c r="D759" s="38">
        <v>297.94099999999997</v>
      </c>
      <c r="E759" s="44">
        <v>729.47900000000004</v>
      </c>
      <c r="F759" s="38">
        <v>1150</v>
      </c>
      <c r="G759" s="38">
        <v>100</v>
      </c>
      <c r="H759" s="46">
        <v>600</v>
      </c>
      <c r="I759" s="38">
        <v>695</v>
      </c>
      <c r="J759" s="38">
        <v>50</v>
      </c>
      <c r="K759" s="39"/>
      <c r="L759" s="39"/>
      <c r="M759" s="39"/>
      <c r="N759" s="39"/>
      <c r="O759" s="39"/>
      <c r="P759" s="39"/>
      <c r="Q759" s="39"/>
      <c r="R759" s="39"/>
      <c r="S759" s="39"/>
      <c r="T759" s="39"/>
    </row>
    <row r="760" spans="1:20" ht="15.75">
      <c r="A760" s="13">
        <v>64284</v>
      </c>
      <c r="B760" s="47">
        <f t="shared" si="2"/>
        <v>31</v>
      </c>
      <c r="C760" s="38">
        <v>122.58</v>
      </c>
      <c r="D760" s="38">
        <v>297.94099999999997</v>
      </c>
      <c r="E760" s="44">
        <v>729.47900000000004</v>
      </c>
      <c r="F760" s="38">
        <v>1150</v>
      </c>
      <c r="G760" s="38">
        <v>100</v>
      </c>
      <c r="H760" s="46">
        <v>600</v>
      </c>
      <c r="I760" s="38">
        <v>695</v>
      </c>
      <c r="J760" s="38">
        <v>50</v>
      </c>
      <c r="K760" s="39"/>
      <c r="L760" s="39"/>
      <c r="M760" s="39"/>
      <c r="N760" s="39"/>
      <c r="O760" s="39"/>
      <c r="P760" s="39"/>
      <c r="Q760" s="39"/>
      <c r="R760" s="39"/>
      <c r="S760" s="39"/>
      <c r="T760" s="39"/>
    </row>
    <row r="761" spans="1:20" ht="15.75">
      <c r="A761" s="13">
        <v>64315</v>
      </c>
      <c r="B761" s="47">
        <f t="shared" si="2"/>
        <v>31</v>
      </c>
      <c r="C761" s="38">
        <v>122.58</v>
      </c>
      <c r="D761" s="38">
        <v>297.94099999999997</v>
      </c>
      <c r="E761" s="44">
        <v>729.47900000000004</v>
      </c>
      <c r="F761" s="38">
        <v>1150</v>
      </c>
      <c r="G761" s="38">
        <v>100</v>
      </c>
      <c r="H761" s="46">
        <v>600</v>
      </c>
      <c r="I761" s="38">
        <v>695</v>
      </c>
      <c r="J761" s="38">
        <v>50</v>
      </c>
      <c r="K761" s="39"/>
      <c r="L761" s="39"/>
      <c r="M761" s="39"/>
      <c r="N761" s="39"/>
      <c r="O761" s="39"/>
      <c r="P761" s="39"/>
      <c r="Q761" s="39"/>
      <c r="R761" s="39"/>
      <c r="S761" s="39"/>
      <c r="T761" s="39"/>
    </row>
    <row r="762" spans="1:20" ht="15.75">
      <c r="A762" s="13">
        <v>64344</v>
      </c>
      <c r="B762" s="47">
        <f t="shared" si="2"/>
        <v>29</v>
      </c>
      <c r="C762" s="38">
        <v>122.58</v>
      </c>
      <c r="D762" s="38">
        <v>297.94099999999997</v>
      </c>
      <c r="E762" s="44">
        <v>729.47900000000004</v>
      </c>
      <c r="F762" s="38">
        <v>1150</v>
      </c>
      <c r="G762" s="38">
        <v>100</v>
      </c>
      <c r="H762" s="46">
        <v>600</v>
      </c>
      <c r="I762" s="38">
        <v>695</v>
      </c>
      <c r="J762" s="38">
        <v>50</v>
      </c>
      <c r="K762" s="39"/>
      <c r="L762" s="39"/>
      <c r="M762" s="39"/>
      <c r="N762" s="39"/>
      <c r="O762" s="39"/>
      <c r="P762" s="39"/>
      <c r="Q762" s="39"/>
      <c r="R762" s="39"/>
      <c r="S762" s="39"/>
      <c r="T762" s="39"/>
    </row>
    <row r="763" spans="1:20" ht="15.75">
      <c r="A763" s="13">
        <v>64375</v>
      </c>
      <c r="B763" s="47">
        <f t="shared" si="2"/>
        <v>31</v>
      </c>
      <c r="C763" s="38">
        <v>122.58</v>
      </c>
      <c r="D763" s="38">
        <v>297.94099999999997</v>
      </c>
      <c r="E763" s="44">
        <v>729.47900000000004</v>
      </c>
      <c r="F763" s="38">
        <v>1150</v>
      </c>
      <c r="G763" s="38">
        <v>100</v>
      </c>
      <c r="H763" s="46">
        <v>600</v>
      </c>
      <c r="I763" s="38">
        <v>695</v>
      </c>
      <c r="J763" s="38">
        <v>50</v>
      </c>
      <c r="K763" s="39"/>
      <c r="L763" s="39"/>
      <c r="M763" s="39"/>
      <c r="N763" s="39"/>
      <c r="O763" s="39"/>
      <c r="P763" s="39"/>
      <c r="Q763" s="39"/>
      <c r="R763" s="39"/>
      <c r="S763" s="39"/>
      <c r="T763" s="39"/>
    </row>
    <row r="764" spans="1:20" ht="15.75">
      <c r="A764" s="13">
        <v>64405</v>
      </c>
      <c r="B764" s="47">
        <f t="shared" si="2"/>
        <v>30</v>
      </c>
      <c r="C764" s="38">
        <v>141.29300000000001</v>
      </c>
      <c r="D764" s="38">
        <v>267.99299999999999</v>
      </c>
      <c r="E764" s="44">
        <v>829.71400000000006</v>
      </c>
      <c r="F764" s="38">
        <v>1239</v>
      </c>
      <c r="G764" s="38">
        <v>100</v>
      </c>
      <c r="H764" s="46">
        <v>600</v>
      </c>
      <c r="I764" s="38">
        <v>695</v>
      </c>
      <c r="J764" s="38">
        <v>50</v>
      </c>
      <c r="K764" s="39"/>
      <c r="L764" s="39"/>
      <c r="M764" s="39"/>
      <c r="N764" s="39"/>
      <c r="O764" s="39"/>
      <c r="P764" s="39"/>
      <c r="Q764" s="39"/>
      <c r="R764" s="39"/>
      <c r="S764" s="39"/>
      <c r="T764" s="39"/>
    </row>
    <row r="765" spans="1:20" ht="15.75">
      <c r="A765" s="13">
        <v>64436</v>
      </c>
      <c r="B765" s="47">
        <f t="shared" si="2"/>
        <v>31</v>
      </c>
      <c r="C765" s="38">
        <v>194.20500000000001</v>
      </c>
      <c r="D765" s="38">
        <v>267.46600000000001</v>
      </c>
      <c r="E765" s="44">
        <v>812.32899999999995</v>
      </c>
      <c r="F765" s="38">
        <v>1274</v>
      </c>
      <c r="G765" s="38">
        <v>75</v>
      </c>
      <c r="H765" s="46">
        <v>600</v>
      </c>
      <c r="I765" s="38">
        <v>695</v>
      </c>
      <c r="J765" s="38">
        <v>50</v>
      </c>
      <c r="K765" s="39"/>
      <c r="L765" s="39"/>
      <c r="M765" s="39"/>
      <c r="N765" s="39"/>
      <c r="O765" s="39"/>
      <c r="P765" s="39"/>
      <c r="Q765" s="39"/>
      <c r="R765" s="39"/>
      <c r="S765" s="39"/>
      <c r="T765" s="39"/>
    </row>
    <row r="766" spans="1:20" ht="15.75">
      <c r="A766" s="13">
        <v>64466</v>
      </c>
      <c r="B766" s="47">
        <f t="shared" si="2"/>
        <v>30</v>
      </c>
      <c r="C766" s="38">
        <v>194.20500000000001</v>
      </c>
      <c r="D766" s="38">
        <v>267.46600000000001</v>
      </c>
      <c r="E766" s="44">
        <v>812.32899999999995</v>
      </c>
      <c r="F766" s="38">
        <v>1274</v>
      </c>
      <c r="G766" s="38">
        <v>50</v>
      </c>
      <c r="H766" s="46">
        <v>600</v>
      </c>
      <c r="I766" s="38">
        <v>695</v>
      </c>
      <c r="J766" s="38">
        <v>50</v>
      </c>
      <c r="K766" s="39"/>
      <c r="L766" s="39"/>
      <c r="M766" s="39"/>
      <c r="N766" s="39"/>
      <c r="O766" s="39"/>
      <c r="P766" s="39"/>
      <c r="Q766" s="39"/>
      <c r="R766" s="39"/>
      <c r="S766" s="39"/>
      <c r="T766" s="39"/>
    </row>
    <row r="767" spans="1:20" ht="15.75">
      <c r="A767" s="13">
        <v>64497</v>
      </c>
      <c r="B767" s="47">
        <f t="shared" si="2"/>
        <v>31</v>
      </c>
      <c r="C767" s="38">
        <v>194.20500000000001</v>
      </c>
      <c r="D767" s="38">
        <v>267.46600000000001</v>
      </c>
      <c r="E767" s="44">
        <v>812.32899999999995</v>
      </c>
      <c r="F767" s="38">
        <v>1274</v>
      </c>
      <c r="G767" s="38">
        <v>50</v>
      </c>
      <c r="H767" s="46">
        <v>600</v>
      </c>
      <c r="I767" s="38">
        <v>695</v>
      </c>
      <c r="J767" s="38">
        <v>0</v>
      </c>
      <c r="K767" s="39"/>
      <c r="L767" s="39"/>
      <c r="M767" s="39"/>
      <c r="N767" s="39"/>
      <c r="O767" s="39"/>
      <c r="P767" s="39"/>
      <c r="Q767" s="39"/>
      <c r="R767" s="39"/>
      <c r="S767" s="39"/>
      <c r="T767" s="39"/>
    </row>
    <row r="768" spans="1:20" ht="15.75">
      <c r="A768" s="13">
        <v>64528</v>
      </c>
      <c r="B768" s="47">
        <f t="shared" si="2"/>
        <v>31</v>
      </c>
      <c r="C768" s="38">
        <v>194.20500000000001</v>
      </c>
      <c r="D768" s="38">
        <v>267.46600000000001</v>
      </c>
      <c r="E768" s="44">
        <v>812.32899999999995</v>
      </c>
      <c r="F768" s="38">
        <v>1274</v>
      </c>
      <c r="G768" s="38">
        <v>50</v>
      </c>
      <c r="H768" s="46">
        <v>600</v>
      </c>
      <c r="I768" s="38">
        <v>695</v>
      </c>
      <c r="J768" s="38">
        <v>0</v>
      </c>
      <c r="K768" s="39"/>
      <c r="L768" s="39"/>
      <c r="M768" s="39"/>
      <c r="N768" s="39"/>
      <c r="O768" s="39"/>
      <c r="P768" s="39"/>
      <c r="Q768" s="39"/>
      <c r="R768" s="39"/>
      <c r="S768" s="39"/>
      <c r="T768" s="39"/>
    </row>
    <row r="769" spans="1:20" ht="15.75">
      <c r="A769" s="13">
        <v>64558</v>
      </c>
      <c r="B769" s="47">
        <f t="shared" si="2"/>
        <v>30</v>
      </c>
      <c r="C769" s="38">
        <v>194.20500000000001</v>
      </c>
      <c r="D769" s="38">
        <v>267.46600000000001</v>
      </c>
      <c r="E769" s="44">
        <v>812.32899999999995</v>
      </c>
      <c r="F769" s="38">
        <v>1274</v>
      </c>
      <c r="G769" s="38">
        <v>50</v>
      </c>
      <c r="H769" s="46">
        <v>600</v>
      </c>
      <c r="I769" s="38">
        <v>695</v>
      </c>
      <c r="J769" s="38">
        <v>0</v>
      </c>
      <c r="K769" s="39"/>
      <c r="L769" s="39"/>
      <c r="M769" s="39"/>
      <c r="N769" s="39"/>
      <c r="O769" s="39"/>
      <c r="P769" s="39"/>
      <c r="Q769" s="39"/>
      <c r="R769" s="39"/>
      <c r="S769" s="39"/>
      <c r="T769" s="39"/>
    </row>
    <row r="770" spans="1:20" ht="15.75">
      <c r="A770" s="13">
        <v>64589</v>
      </c>
      <c r="B770" s="47">
        <f t="shared" si="2"/>
        <v>31</v>
      </c>
      <c r="C770" s="38">
        <v>131.881</v>
      </c>
      <c r="D770" s="38">
        <v>277.16699999999997</v>
      </c>
      <c r="E770" s="44">
        <v>829.952</v>
      </c>
      <c r="F770" s="38">
        <v>1239</v>
      </c>
      <c r="G770" s="38">
        <v>75</v>
      </c>
      <c r="H770" s="46">
        <v>600</v>
      </c>
      <c r="I770" s="38">
        <v>695</v>
      </c>
      <c r="J770" s="38">
        <v>0</v>
      </c>
      <c r="K770" s="39"/>
      <c r="L770" s="39"/>
      <c r="M770" s="39"/>
      <c r="N770" s="39"/>
      <c r="O770" s="39"/>
      <c r="P770" s="39"/>
      <c r="Q770" s="39"/>
      <c r="R770" s="39"/>
      <c r="S770" s="39"/>
      <c r="T770" s="39"/>
    </row>
    <row r="771" spans="1:20" ht="15.75">
      <c r="A771" s="13">
        <v>64619</v>
      </c>
      <c r="B771" s="47">
        <f t="shared" si="2"/>
        <v>30</v>
      </c>
      <c r="C771" s="38">
        <v>122.58</v>
      </c>
      <c r="D771" s="38">
        <v>297.94099999999997</v>
      </c>
      <c r="E771" s="44">
        <v>729.47900000000004</v>
      </c>
      <c r="F771" s="38">
        <v>1150</v>
      </c>
      <c r="G771" s="38">
        <v>100</v>
      </c>
      <c r="H771" s="46">
        <v>600</v>
      </c>
      <c r="I771" s="38">
        <v>695</v>
      </c>
      <c r="J771" s="38">
        <v>50</v>
      </c>
      <c r="K771" s="39"/>
      <c r="L771" s="39"/>
      <c r="M771" s="39"/>
      <c r="N771" s="39"/>
      <c r="O771" s="39"/>
      <c r="P771" s="39"/>
      <c r="Q771" s="39"/>
      <c r="R771" s="39"/>
      <c r="S771" s="39"/>
      <c r="T771" s="39"/>
    </row>
    <row r="772" spans="1:20" ht="15.75">
      <c r="A772" s="13">
        <v>64650</v>
      </c>
      <c r="B772" s="47">
        <f t="shared" si="2"/>
        <v>31</v>
      </c>
      <c r="C772" s="38">
        <v>122.58</v>
      </c>
      <c r="D772" s="38">
        <v>297.94099999999997</v>
      </c>
      <c r="E772" s="44">
        <v>729.47900000000004</v>
      </c>
      <c r="F772" s="38">
        <v>1150</v>
      </c>
      <c r="G772" s="38">
        <v>100</v>
      </c>
      <c r="H772" s="46">
        <v>600</v>
      </c>
      <c r="I772" s="38">
        <v>695</v>
      </c>
      <c r="J772" s="38">
        <v>50</v>
      </c>
      <c r="K772" s="39"/>
      <c r="L772" s="39"/>
      <c r="M772" s="39"/>
      <c r="N772" s="39"/>
      <c r="O772" s="39"/>
      <c r="P772" s="39"/>
      <c r="Q772" s="39"/>
      <c r="R772" s="39"/>
      <c r="S772" s="39"/>
      <c r="T772" s="39"/>
    </row>
    <row r="773" spans="1:20" ht="15.75">
      <c r="A773" s="13">
        <v>64681</v>
      </c>
      <c r="B773" s="47">
        <f t="shared" si="2"/>
        <v>31</v>
      </c>
      <c r="C773" s="38">
        <v>122.58</v>
      </c>
      <c r="D773" s="38">
        <v>297.94099999999997</v>
      </c>
      <c r="E773" s="44">
        <v>729.47900000000004</v>
      </c>
      <c r="F773" s="38">
        <v>1150</v>
      </c>
      <c r="G773" s="38">
        <v>100</v>
      </c>
      <c r="H773" s="46">
        <v>600</v>
      </c>
      <c r="I773" s="38">
        <v>695</v>
      </c>
      <c r="J773" s="38">
        <v>50</v>
      </c>
      <c r="K773" s="39"/>
      <c r="L773" s="39"/>
      <c r="M773" s="39"/>
      <c r="N773" s="39"/>
      <c r="O773" s="39"/>
      <c r="P773" s="39"/>
      <c r="Q773" s="39"/>
      <c r="R773" s="39"/>
      <c r="S773" s="39"/>
      <c r="T773" s="39"/>
    </row>
    <row r="774" spans="1:20" ht="15.75">
      <c r="A774" s="13">
        <v>64709</v>
      </c>
      <c r="B774" s="47">
        <f t="shared" si="2"/>
        <v>28</v>
      </c>
      <c r="C774" s="38">
        <v>122.58</v>
      </c>
      <c r="D774" s="38">
        <v>297.94099999999997</v>
      </c>
      <c r="E774" s="44">
        <v>729.47900000000004</v>
      </c>
      <c r="F774" s="38">
        <v>1150</v>
      </c>
      <c r="G774" s="38">
        <v>100</v>
      </c>
      <c r="H774" s="46">
        <v>600</v>
      </c>
      <c r="I774" s="38">
        <v>695</v>
      </c>
      <c r="J774" s="38">
        <v>50</v>
      </c>
      <c r="K774" s="39"/>
      <c r="L774" s="39"/>
      <c r="M774" s="39"/>
      <c r="N774" s="39"/>
      <c r="O774" s="39"/>
      <c r="P774" s="39"/>
      <c r="Q774" s="39"/>
      <c r="R774" s="39"/>
      <c r="S774" s="39"/>
      <c r="T774" s="39"/>
    </row>
    <row r="775" spans="1:20" ht="15.75">
      <c r="A775" s="13">
        <v>64740</v>
      </c>
      <c r="B775" s="47">
        <f t="shared" si="2"/>
        <v>31</v>
      </c>
      <c r="C775" s="38">
        <v>122.58</v>
      </c>
      <c r="D775" s="38">
        <v>297.94099999999997</v>
      </c>
      <c r="E775" s="44">
        <v>729.47900000000004</v>
      </c>
      <c r="F775" s="38">
        <v>1150</v>
      </c>
      <c r="G775" s="38">
        <v>100</v>
      </c>
      <c r="H775" s="46">
        <v>600</v>
      </c>
      <c r="I775" s="38">
        <v>695</v>
      </c>
      <c r="J775" s="38">
        <v>50</v>
      </c>
      <c r="K775" s="39"/>
      <c r="L775" s="39"/>
      <c r="M775" s="39"/>
      <c r="N775" s="39"/>
      <c r="O775" s="39"/>
      <c r="P775" s="39"/>
      <c r="Q775" s="39"/>
      <c r="R775" s="39"/>
      <c r="S775" s="39"/>
      <c r="T775" s="39"/>
    </row>
    <row r="776" spans="1:20" ht="15.75">
      <c r="A776" s="13">
        <v>64770</v>
      </c>
      <c r="B776" s="47">
        <f t="shared" si="2"/>
        <v>30</v>
      </c>
      <c r="C776" s="38">
        <v>141.29300000000001</v>
      </c>
      <c r="D776" s="38">
        <v>267.99299999999999</v>
      </c>
      <c r="E776" s="44">
        <v>829.71400000000006</v>
      </c>
      <c r="F776" s="38">
        <v>1239</v>
      </c>
      <c r="G776" s="38">
        <v>100</v>
      </c>
      <c r="H776" s="46">
        <v>600</v>
      </c>
      <c r="I776" s="38">
        <v>695</v>
      </c>
      <c r="J776" s="38">
        <v>50</v>
      </c>
      <c r="K776" s="39"/>
      <c r="L776" s="39"/>
      <c r="M776" s="39"/>
      <c r="N776" s="39"/>
      <c r="O776" s="39"/>
      <c r="P776" s="39"/>
      <c r="Q776" s="39"/>
      <c r="R776" s="39"/>
      <c r="S776" s="39"/>
      <c r="T776" s="39"/>
    </row>
    <row r="777" spans="1:20" ht="15.75">
      <c r="A777" s="13">
        <v>64801</v>
      </c>
      <c r="B777" s="47">
        <f t="shared" si="2"/>
        <v>31</v>
      </c>
      <c r="C777" s="38">
        <v>194.20500000000001</v>
      </c>
      <c r="D777" s="38">
        <v>267.46600000000001</v>
      </c>
      <c r="E777" s="44">
        <v>812.32899999999995</v>
      </c>
      <c r="F777" s="38">
        <v>1274</v>
      </c>
      <c r="G777" s="38">
        <v>75</v>
      </c>
      <c r="H777" s="46">
        <v>600</v>
      </c>
      <c r="I777" s="38">
        <v>695</v>
      </c>
      <c r="J777" s="38">
        <v>50</v>
      </c>
      <c r="K777" s="39"/>
      <c r="L777" s="39"/>
      <c r="M777" s="39"/>
      <c r="N777" s="39"/>
      <c r="O777" s="39"/>
      <c r="P777" s="39"/>
      <c r="Q777" s="39"/>
      <c r="R777" s="39"/>
      <c r="S777" s="39"/>
      <c r="T777" s="39"/>
    </row>
    <row r="778" spans="1:20" ht="15.75">
      <c r="A778" s="13">
        <v>64831</v>
      </c>
      <c r="B778" s="47">
        <f t="shared" si="2"/>
        <v>30</v>
      </c>
      <c r="C778" s="38">
        <v>194.20500000000001</v>
      </c>
      <c r="D778" s="38">
        <v>267.46600000000001</v>
      </c>
      <c r="E778" s="44">
        <v>812.32899999999995</v>
      </c>
      <c r="F778" s="38">
        <v>1274</v>
      </c>
      <c r="G778" s="38">
        <v>50</v>
      </c>
      <c r="H778" s="46">
        <v>600</v>
      </c>
      <c r="I778" s="38">
        <v>695</v>
      </c>
      <c r="J778" s="38">
        <v>50</v>
      </c>
      <c r="K778" s="39"/>
      <c r="L778" s="39"/>
      <c r="M778" s="39"/>
      <c r="N778" s="39"/>
      <c r="O778" s="39"/>
      <c r="P778" s="39"/>
      <c r="Q778" s="39"/>
      <c r="R778" s="39"/>
      <c r="S778" s="39"/>
      <c r="T778" s="39"/>
    </row>
    <row r="779" spans="1:20" ht="15.75">
      <c r="A779" s="13">
        <v>64862</v>
      </c>
      <c r="B779" s="47">
        <f t="shared" si="2"/>
        <v>31</v>
      </c>
      <c r="C779" s="38">
        <v>194.20500000000001</v>
      </c>
      <c r="D779" s="38">
        <v>267.46600000000001</v>
      </c>
      <c r="E779" s="44">
        <v>812.32899999999995</v>
      </c>
      <c r="F779" s="38">
        <v>1274</v>
      </c>
      <c r="G779" s="38">
        <v>50</v>
      </c>
      <c r="H779" s="46">
        <v>600</v>
      </c>
      <c r="I779" s="38">
        <v>695</v>
      </c>
      <c r="J779" s="38">
        <v>0</v>
      </c>
      <c r="K779" s="39"/>
      <c r="L779" s="39"/>
      <c r="M779" s="39"/>
      <c r="N779" s="39"/>
      <c r="O779" s="39"/>
      <c r="P779" s="39"/>
      <c r="Q779" s="39"/>
      <c r="R779" s="39"/>
      <c r="S779" s="39"/>
      <c r="T779" s="39"/>
    </row>
    <row r="780" spans="1:20" ht="15.75">
      <c r="A780" s="13">
        <v>64893</v>
      </c>
      <c r="B780" s="47">
        <f t="shared" si="2"/>
        <v>31</v>
      </c>
      <c r="C780" s="38">
        <v>194.20500000000001</v>
      </c>
      <c r="D780" s="38">
        <v>267.46600000000001</v>
      </c>
      <c r="E780" s="44">
        <v>812.32899999999995</v>
      </c>
      <c r="F780" s="38">
        <v>1274</v>
      </c>
      <c r="G780" s="38">
        <v>50</v>
      </c>
      <c r="H780" s="46">
        <v>600</v>
      </c>
      <c r="I780" s="38">
        <v>695</v>
      </c>
      <c r="J780" s="38">
        <v>0</v>
      </c>
      <c r="K780" s="39"/>
      <c r="L780" s="39"/>
      <c r="M780" s="39"/>
      <c r="N780" s="39"/>
      <c r="O780" s="39"/>
      <c r="P780" s="39"/>
      <c r="Q780" s="39"/>
      <c r="R780" s="39"/>
      <c r="S780" s="39"/>
      <c r="T780" s="39"/>
    </row>
    <row r="781" spans="1:20" ht="15.75">
      <c r="A781" s="13">
        <v>64923</v>
      </c>
      <c r="B781" s="47">
        <f t="shared" si="2"/>
        <v>30</v>
      </c>
      <c r="C781" s="38">
        <v>194.20500000000001</v>
      </c>
      <c r="D781" s="38">
        <v>267.46600000000001</v>
      </c>
      <c r="E781" s="44">
        <v>812.32899999999995</v>
      </c>
      <c r="F781" s="38">
        <v>1274</v>
      </c>
      <c r="G781" s="38">
        <v>50</v>
      </c>
      <c r="H781" s="46">
        <v>600</v>
      </c>
      <c r="I781" s="38">
        <v>695</v>
      </c>
      <c r="J781" s="38">
        <v>0</v>
      </c>
      <c r="K781" s="39"/>
      <c r="L781" s="39"/>
      <c r="M781" s="39"/>
      <c r="N781" s="39"/>
      <c r="O781" s="39"/>
      <c r="P781" s="39"/>
      <c r="Q781" s="39"/>
      <c r="R781" s="39"/>
      <c r="S781" s="39"/>
      <c r="T781" s="39"/>
    </row>
    <row r="782" spans="1:20" ht="15.75">
      <c r="A782" s="13">
        <v>64954</v>
      </c>
      <c r="B782" s="47">
        <f t="shared" si="2"/>
        <v>31</v>
      </c>
      <c r="C782" s="38">
        <v>131.881</v>
      </c>
      <c r="D782" s="38">
        <v>277.16699999999997</v>
      </c>
      <c r="E782" s="44">
        <v>829.952</v>
      </c>
      <c r="F782" s="38">
        <v>1239</v>
      </c>
      <c r="G782" s="38">
        <v>75</v>
      </c>
      <c r="H782" s="46">
        <v>600</v>
      </c>
      <c r="I782" s="38">
        <v>695</v>
      </c>
      <c r="J782" s="38">
        <v>0</v>
      </c>
      <c r="K782" s="39"/>
      <c r="L782" s="39"/>
      <c r="M782" s="39"/>
      <c r="N782" s="39"/>
      <c r="O782" s="39"/>
      <c r="P782" s="39"/>
      <c r="Q782" s="39"/>
      <c r="R782" s="39"/>
      <c r="S782" s="39"/>
      <c r="T782" s="39"/>
    </row>
    <row r="783" spans="1:20" ht="15.75">
      <c r="A783" s="13">
        <v>64984</v>
      </c>
      <c r="B783" s="47">
        <f t="shared" si="2"/>
        <v>30</v>
      </c>
      <c r="C783" s="38">
        <v>122.58</v>
      </c>
      <c r="D783" s="38">
        <v>297.94099999999997</v>
      </c>
      <c r="E783" s="44">
        <v>729.47900000000004</v>
      </c>
      <c r="F783" s="38">
        <v>1150</v>
      </c>
      <c r="G783" s="38">
        <v>100</v>
      </c>
      <c r="H783" s="46">
        <v>600</v>
      </c>
      <c r="I783" s="38">
        <v>695</v>
      </c>
      <c r="J783" s="38">
        <v>50</v>
      </c>
      <c r="K783" s="39"/>
      <c r="L783" s="39"/>
      <c r="M783" s="39"/>
      <c r="N783" s="39"/>
      <c r="O783" s="39"/>
      <c r="P783" s="39"/>
      <c r="Q783" s="39"/>
      <c r="R783" s="39"/>
      <c r="S783" s="39"/>
      <c r="T783" s="39"/>
    </row>
    <row r="784" spans="1:20" ht="15.75">
      <c r="A784" s="13">
        <v>65015</v>
      </c>
      <c r="B784" s="47">
        <f t="shared" si="2"/>
        <v>31</v>
      </c>
      <c r="C784" s="38">
        <v>122.58</v>
      </c>
      <c r="D784" s="38">
        <v>297.94099999999997</v>
      </c>
      <c r="E784" s="44">
        <v>729.47900000000004</v>
      </c>
      <c r="F784" s="38">
        <v>1150</v>
      </c>
      <c r="G784" s="38">
        <v>100</v>
      </c>
      <c r="H784" s="46">
        <v>600</v>
      </c>
      <c r="I784" s="38">
        <v>695</v>
      </c>
      <c r="J784" s="38">
        <v>50</v>
      </c>
      <c r="K784" s="39"/>
      <c r="L784" s="39"/>
      <c r="M784" s="39"/>
      <c r="N784" s="39"/>
      <c r="O784" s="39"/>
      <c r="P784" s="39"/>
      <c r="Q784" s="39"/>
      <c r="R784" s="39"/>
      <c r="S784" s="39"/>
      <c r="T784" s="39"/>
    </row>
    <row r="785" spans="1:20" ht="15.75">
      <c r="A785" s="13">
        <v>65046</v>
      </c>
      <c r="B785" s="47">
        <f t="shared" ref="B785:B848" si="3">EOMONTH(A785,0)-EOMONTH(A785,-1)</f>
        <v>31</v>
      </c>
      <c r="C785" s="38">
        <v>122.58</v>
      </c>
      <c r="D785" s="38">
        <v>297.94099999999997</v>
      </c>
      <c r="E785" s="44">
        <v>729.47900000000004</v>
      </c>
      <c r="F785" s="38">
        <v>1150</v>
      </c>
      <c r="G785" s="38">
        <v>100</v>
      </c>
      <c r="H785" s="46">
        <v>600</v>
      </c>
      <c r="I785" s="38">
        <v>695</v>
      </c>
      <c r="J785" s="38">
        <v>50</v>
      </c>
      <c r="K785" s="39"/>
      <c r="L785" s="39"/>
      <c r="M785" s="39"/>
      <c r="N785" s="39"/>
      <c r="O785" s="39"/>
      <c r="P785" s="39"/>
      <c r="Q785" s="39"/>
      <c r="R785" s="39"/>
      <c r="S785" s="39"/>
      <c r="T785" s="39"/>
    </row>
    <row r="786" spans="1:20" ht="15.75">
      <c r="A786" s="13">
        <v>65074</v>
      </c>
      <c r="B786" s="47">
        <f t="shared" si="3"/>
        <v>28</v>
      </c>
      <c r="C786" s="38">
        <v>122.58</v>
      </c>
      <c r="D786" s="38">
        <v>297.94099999999997</v>
      </c>
      <c r="E786" s="44">
        <v>729.47900000000004</v>
      </c>
      <c r="F786" s="38">
        <v>1150</v>
      </c>
      <c r="G786" s="38">
        <v>100</v>
      </c>
      <c r="H786" s="46">
        <v>600</v>
      </c>
      <c r="I786" s="38">
        <v>695</v>
      </c>
      <c r="J786" s="38">
        <v>50</v>
      </c>
      <c r="K786" s="39"/>
      <c r="L786" s="39"/>
      <c r="M786" s="39"/>
      <c r="N786" s="39"/>
      <c r="O786" s="39"/>
      <c r="P786" s="39"/>
      <c r="Q786" s="39"/>
      <c r="R786" s="39"/>
      <c r="S786" s="39"/>
      <c r="T786" s="39"/>
    </row>
    <row r="787" spans="1:20" ht="15.75">
      <c r="A787" s="13">
        <v>65105</v>
      </c>
      <c r="B787" s="47">
        <f t="shared" si="3"/>
        <v>31</v>
      </c>
      <c r="C787" s="38">
        <v>122.58</v>
      </c>
      <c r="D787" s="38">
        <v>297.94099999999997</v>
      </c>
      <c r="E787" s="44">
        <v>729.47900000000004</v>
      </c>
      <c r="F787" s="38">
        <v>1150</v>
      </c>
      <c r="G787" s="38">
        <v>100</v>
      </c>
      <c r="H787" s="46">
        <v>600</v>
      </c>
      <c r="I787" s="38">
        <v>695</v>
      </c>
      <c r="J787" s="38">
        <v>50</v>
      </c>
      <c r="K787" s="39"/>
      <c r="L787" s="39"/>
      <c r="M787" s="39"/>
      <c r="N787" s="39"/>
      <c r="O787" s="39"/>
      <c r="P787" s="39"/>
      <c r="Q787" s="39"/>
      <c r="R787" s="39"/>
      <c r="S787" s="39"/>
      <c r="T787" s="39"/>
    </row>
    <row r="788" spans="1:20" ht="15.75">
      <c r="A788" s="13">
        <v>65135</v>
      </c>
      <c r="B788" s="47">
        <f t="shared" si="3"/>
        <v>30</v>
      </c>
      <c r="C788" s="38">
        <v>141.29300000000001</v>
      </c>
      <c r="D788" s="38">
        <v>267.99299999999999</v>
      </c>
      <c r="E788" s="44">
        <v>829.71400000000006</v>
      </c>
      <c r="F788" s="38">
        <v>1239</v>
      </c>
      <c r="G788" s="38">
        <v>100</v>
      </c>
      <c r="H788" s="46">
        <v>600</v>
      </c>
      <c r="I788" s="38">
        <v>695</v>
      </c>
      <c r="J788" s="38">
        <v>50</v>
      </c>
      <c r="K788" s="39"/>
      <c r="L788" s="39"/>
      <c r="M788" s="39"/>
      <c r="N788" s="39"/>
      <c r="O788" s="39"/>
      <c r="P788" s="39"/>
      <c r="Q788" s="39"/>
      <c r="R788" s="39"/>
      <c r="S788" s="39"/>
      <c r="T788" s="39"/>
    </row>
    <row r="789" spans="1:20" ht="15.75">
      <c r="A789" s="13">
        <v>65166</v>
      </c>
      <c r="B789" s="47">
        <f t="shared" si="3"/>
        <v>31</v>
      </c>
      <c r="C789" s="38">
        <v>194.20500000000001</v>
      </c>
      <c r="D789" s="38">
        <v>267.46600000000001</v>
      </c>
      <c r="E789" s="44">
        <v>812.32899999999995</v>
      </c>
      <c r="F789" s="38">
        <v>1274</v>
      </c>
      <c r="G789" s="38">
        <v>75</v>
      </c>
      <c r="H789" s="46">
        <v>600</v>
      </c>
      <c r="I789" s="38">
        <v>695</v>
      </c>
      <c r="J789" s="38">
        <v>50</v>
      </c>
      <c r="K789" s="39"/>
      <c r="L789" s="39"/>
      <c r="M789" s="39"/>
      <c r="N789" s="39"/>
      <c r="O789" s="39"/>
      <c r="P789" s="39"/>
      <c r="Q789" s="39"/>
      <c r="R789" s="39"/>
      <c r="S789" s="39"/>
      <c r="T789" s="39"/>
    </row>
    <row r="790" spans="1:20" ht="15.75">
      <c r="A790" s="13">
        <v>65196</v>
      </c>
      <c r="B790" s="47">
        <f t="shared" si="3"/>
        <v>30</v>
      </c>
      <c r="C790" s="38">
        <v>194.20500000000001</v>
      </c>
      <c r="D790" s="38">
        <v>267.46600000000001</v>
      </c>
      <c r="E790" s="44">
        <v>812.32899999999995</v>
      </c>
      <c r="F790" s="38">
        <v>1274</v>
      </c>
      <c r="G790" s="38">
        <v>50</v>
      </c>
      <c r="H790" s="46">
        <v>600</v>
      </c>
      <c r="I790" s="38">
        <v>695</v>
      </c>
      <c r="J790" s="38">
        <v>50</v>
      </c>
      <c r="K790" s="39"/>
      <c r="L790" s="39"/>
      <c r="M790" s="39"/>
      <c r="N790" s="39"/>
      <c r="O790" s="39"/>
      <c r="P790" s="39"/>
      <c r="Q790" s="39"/>
      <c r="R790" s="39"/>
      <c r="S790" s="39"/>
      <c r="T790" s="39"/>
    </row>
    <row r="791" spans="1:20" ht="15.75">
      <c r="A791" s="13">
        <v>65227</v>
      </c>
      <c r="B791" s="47">
        <f t="shared" si="3"/>
        <v>31</v>
      </c>
      <c r="C791" s="38">
        <v>194.20500000000001</v>
      </c>
      <c r="D791" s="38">
        <v>267.46600000000001</v>
      </c>
      <c r="E791" s="44">
        <v>812.32899999999995</v>
      </c>
      <c r="F791" s="38">
        <v>1274</v>
      </c>
      <c r="G791" s="38">
        <v>50</v>
      </c>
      <c r="H791" s="46">
        <v>600</v>
      </c>
      <c r="I791" s="38">
        <v>695</v>
      </c>
      <c r="J791" s="38">
        <v>0</v>
      </c>
      <c r="K791" s="39"/>
      <c r="L791" s="39"/>
      <c r="M791" s="39"/>
      <c r="N791" s="39"/>
      <c r="O791" s="39"/>
      <c r="P791" s="39"/>
      <c r="Q791" s="39"/>
      <c r="R791" s="39"/>
      <c r="S791" s="39"/>
      <c r="T791" s="39"/>
    </row>
    <row r="792" spans="1:20" ht="15.75">
      <c r="A792" s="13">
        <v>65258</v>
      </c>
      <c r="B792" s="47">
        <f t="shared" si="3"/>
        <v>31</v>
      </c>
      <c r="C792" s="38">
        <v>194.20500000000001</v>
      </c>
      <c r="D792" s="38">
        <v>267.46600000000001</v>
      </c>
      <c r="E792" s="44">
        <v>812.32899999999995</v>
      </c>
      <c r="F792" s="38">
        <v>1274</v>
      </c>
      <c r="G792" s="38">
        <v>50</v>
      </c>
      <c r="H792" s="46">
        <v>600</v>
      </c>
      <c r="I792" s="38">
        <v>695</v>
      </c>
      <c r="J792" s="38">
        <v>0</v>
      </c>
      <c r="K792" s="39"/>
      <c r="L792" s="39"/>
      <c r="M792" s="39"/>
      <c r="N792" s="39"/>
      <c r="O792" s="39"/>
      <c r="P792" s="39"/>
      <c r="Q792" s="39"/>
      <c r="R792" s="39"/>
      <c r="S792" s="39"/>
      <c r="T792" s="39"/>
    </row>
    <row r="793" spans="1:20" ht="15.75">
      <c r="A793" s="13">
        <v>65288</v>
      </c>
      <c r="B793" s="47">
        <f t="shared" si="3"/>
        <v>30</v>
      </c>
      <c r="C793" s="38">
        <v>194.20500000000001</v>
      </c>
      <c r="D793" s="38">
        <v>267.46600000000001</v>
      </c>
      <c r="E793" s="44">
        <v>812.32899999999995</v>
      </c>
      <c r="F793" s="38">
        <v>1274</v>
      </c>
      <c r="G793" s="38">
        <v>50</v>
      </c>
      <c r="H793" s="46">
        <v>600</v>
      </c>
      <c r="I793" s="38">
        <v>695</v>
      </c>
      <c r="J793" s="38">
        <v>0</v>
      </c>
      <c r="K793" s="39"/>
      <c r="L793" s="39"/>
      <c r="M793" s="39"/>
      <c r="N793" s="39"/>
      <c r="O793" s="39"/>
      <c r="P793" s="39"/>
      <c r="Q793" s="39"/>
      <c r="R793" s="39"/>
      <c r="S793" s="39"/>
      <c r="T793" s="39"/>
    </row>
    <row r="794" spans="1:20" ht="15.75">
      <c r="A794" s="13">
        <v>65319</v>
      </c>
      <c r="B794" s="47">
        <f t="shared" si="3"/>
        <v>31</v>
      </c>
      <c r="C794" s="38">
        <v>131.881</v>
      </c>
      <c r="D794" s="38">
        <v>277.16699999999997</v>
      </c>
      <c r="E794" s="44">
        <v>829.952</v>
      </c>
      <c r="F794" s="38">
        <v>1239</v>
      </c>
      <c r="G794" s="38">
        <v>75</v>
      </c>
      <c r="H794" s="46">
        <v>600</v>
      </c>
      <c r="I794" s="38">
        <v>695</v>
      </c>
      <c r="J794" s="38">
        <v>0</v>
      </c>
      <c r="K794" s="39"/>
      <c r="L794" s="39"/>
      <c r="M794" s="39"/>
      <c r="N794" s="39"/>
      <c r="O794" s="39"/>
      <c r="P794" s="39"/>
      <c r="Q794" s="39"/>
      <c r="R794" s="39"/>
      <c r="S794" s="39"/>
      <c r="T794" s="39"/>
    </row>
    <row r="795" spans="1:20" ht="15.75">
      <c r="A795" s="13">
        <v>65349</v>
      </c>
      <c r="B795" s="47">
        <f t="shared" si="3"/>
        <v>30</v>
      </c>
      <c r="C795" s="38">
        <v>122.58</v>
      </c>
      <c r="D795" s="38">
        <v>297.94099999999997</v>
      </c>
      <c r="E795" s="44">
        <v>729.47900000000004</v>
      </c>
      <c r="F795" s="38">
        <v>1150</v>
      </c>
      <c r="G795" s="38">
        <v>100</v>
      </c>
      <c r="H795" s="46">
        <v>600</v>
      </c>
      <c r="I795" s="38">
        <v>695</v>
      </c>
      <c r="J795" s="38">
        <v>50</v>
      </c>
      <c r="K795" s="39"/>
      <c r="L795" s="39"/>
      <c r="M795" s="39"/>
      <c r="N795" s="39"/>
      <c r="O795" s="39"/>
      <c r="P795" s="39"/>
      <c r="Q795" s="39"/>
      <c r="R795" s="39"/>
      <c r="S795" s="39"/>
      <c r="T795" s="39"/>
    </row>
    <row r="796" spans="1:20" ht="15.75">
      <c r="A796" s="13">
        <v>65380</v>
      </c>
      <c r="B796" s="47">
        <f t="shared" si="3"/>
        <v>31</v>
      </c>
      <c r="C796" s="38">
        <v>122.58</v>
      </c>
      <c r="D796" s="38">
        <v>297.94099999999997</v>
      </c>
      <c r="E796" s="44">
        <v>729.47900000000004</v>
      </c>
      <c r="F796" s="38">
        <v>1150</v>
      </c>
      <c r="G796" s="38">
        <v>100</v>
      </c>
      <c r="H796" s="46">
        <v>600</v>
      </c>
      <c r="I796" s="38">
        <v>695</v>
      </c>
      <c r="J796" s="38">
        <v>50</v>
      </c>
      <c r="K796" s="39"/>
      <c r="L796" s="39"/>
      <c r="M796" s="39"/>
      <c r="N796" s="39"/>
      <c r="O796" s="39"/>
      <c r="P796" s="39"/>
      <c r="Q796" s="39"/>
      <c r="R796" s="39"/>
      <c r="S796" s="39"/>
      <c r="T796" s="39"/>
    </row>
    <row r="797" spans="1:20" ht="15.75">
      <c r="A797" s="13">
        <v>65411</v>
      </c>
      <c r="B797" s="47">
        <f t="shared" si="3"/>
        <v>31</v>
      </c>
      <c r="C797" s="38">
        <v>122.58</v>
      </c>
      <c r="D797" s="38">
        <v>297.94099999999997</v>
      </c>
      <c r="E797" s="44">
        <v>729.47900000000004</v>
      </c>
      <c r="F797" s="38">
        <v>1150</v>
      </c>
      <c r="G797" s="38">
        <v>100</v>
      </c>
      <c r="H797" s="46">
        <v>600</v>
      </c>
      <c r="I797" s="38">
        <v>695</v>
      </c>
      <c r="J797" s="38">
        <v>50</v>
      </c>
      <c r="K797" s="39"/>
      <c r="L797" s="39"/>
      <c r="M797" s="39"/>
      <c r="N797" s="39"/>
      <c r="O797" s="39"/>
      <c r="P797" s="39"/>
      <c r="Q797" s="39"/>
      <c r="R797" s="39"/>
      <c r="S797" s="39"/>
      <c r="T797" s="39"/>
    </row>
    <row r="798" spans="1:20" ht="15.75">
      <c r="A798" s="13">
        <v>65439</v>
      </c>
      <c r="B798" s="47">
        <f t="shared" si="3"/>
        <v>28</v>
      </c>
      <c r="C798" s="38">
        <v>122.58</v>
      </c>
      <c r="D798" s="38">
        <v>297.94099999999997</v>
      </c>
      <c r="E798" s="44">
        <v>729.47900000000004</v>
      </c>
      <c r="F798" s="38">
        <v>1150</v>
      </c>
      <c r="G798" s="38">
        <v>100</v>
      </c>
      <c r="H798" s="46">
        <v>600</v>
      </c>
      <c r="I798" s="38">
        <v>695</v>
      </c>
      <c r="J798" s="38">
        <v>50</v>
      </c>
      <c r="K798" s="39"/>
      <c r="L798" s="39"/>
      <c r="M798" s="39"/>
      <c r="N798" s="39"/>
      <c r="O798" s="39"/>
      <c r="P798" s="39"/>
      <c r="Q798" s="39"/>
      <c r="R798" s="39"/>
      <c r="S798" s="39"/>
      <c r="T798" s="39"/>
    </row>
    <row r="799" spans="1:20" ht="15.75">
      <c r="A799" s="13">
        <v>65470</v>
      </c>
      <c r="B799" s="47">
        <f t="shared" si="3"/>
        <v>31</v>
      </c>
      <c r="C799" s="38">
        <v>122.58</v>
      </c>
      <c r="D799" s="38">
        <v>297.94099999999997</v>
      </c>
      <c r="E799" s="44">
        <v>729.47900000000004</v>
      </c>
      <c r="F799" s="38">
        <v>1150</v>
      </c>
      <c r="G799" s="38">
        <v>100</v>
      </c>
      <c r="H799" s="46">
        <v>600</v>
      </c>
      <c r="I799" s="38">
        <v>695</v>
      </c>
      <c r="J799" s="38">
        <v>50</v>
      </c>
      <c r="K799" s="39"/>
      <c r="L799" s="39"/>
      <c r="M799" s="39"/>
      <c r="N799" s="39"/>
      <c r="O799" s="39"/>
      <c r="P799" s="39"/>
      <c r="Q799" s="39"/>
      <c r="R799" s="39"/>
      <c r="S799" s="39"/>
      <c r="T799" s="39"/>
    </row>
    <row r="800" spans="1:20" ht="15.75">
      <c r="A800" s="13">
        <v>65500</v>
      </c>
      <c r="B800" s="47">
        <f t="shared" si="3"/>
        <v>30</v>
      </c>
      <c r="C800" s="38">
        <v>141.29300000000001</v>
      </c>
      <c r="D800" s="38">
        <v>267.99299999999999</v>
      </c>
      <c r="E800" s="44">
        <v>829.71400000000006</v>
      </c>
      <c r="F800" s="38">
        <v>1239</v>
      </c>
      <c r="G800" s="38">
        <v>100</v>
      </c>
      <c r="H800" s="46">
        <v>600</v>
      </c>
      <c r="I800" s="38">
        <v>695</v>
      </c>
      <c r="J800" s="38">
        <v>50</v>
      </c>
      <c r="K800" s="39"/>
      <c r="L800" s="39"/>
      <c r="M800" s="39"/>
      <c r="N800" s="39"/>
      <c r="O800" s="39"/>
      <c r="P800" s="39"/>
      <c r="Q800" s="39"/>
      <c r="R800" s="39"/>
      <c r="S800" s="39"/>
      <c r="T800" s="39"/>
    </row>
    <row r="801" spans="1:20" ht="15.75">
      <c r="A801" s="13">
        <v>65531</v>
      </c>
      <c r="B801" s="47">
        <f t="shared" si="3"/>
        <v>31</v>
      </c>
      <c r="C801" s="38">
        <v>194.20500000000001</v>
      </c>
      <c r="D801" s="38">
        <v>267.46600000000001</v>
      </c>
      <c r="E801" s="44">
        <v>812.32899999999995</v>
      </c>
      <c r="F801" s="38">
        <v>1274</v>
      </c>
      <c r="G801" s="38">
        <v>75</v>
      </c>
      <c r="H801" s="46">
        <v>600</v>
      </c>
      <c r="I801" s="38">
        <v>695</v>
      </c>
      <c r="J801" s="38">
        <v>50</v>
      </c>
      <c r="K801" s="39"/>
      <c r="L801" s="39"/>
      <c r="M801" s="39"/>
      <c r="N801" s="39"/>
      <c r="O801" s="39"/>
      <c r="P801" s="39"/>
      <c r="Q801" s="39"/>
      <c r="R801" s="39"/>
      <c r="S801" s="39"/>
      <c r="T801" s="39"/>
    </row>
    <row r="802" spans="1:20" ht="15.75">
      <c r="A802" s="13">
        <v>65561</v>
      </c>
      <c r="B802" s="47">
        <f t="shared" si="3"/>
        <v>30</v>
      </c>
      <c r="C802" s="38">
        <v>194.20500000000001</v>
      </c>
      <c r="D802" s="38">
        <v>267.46600000000001</v>
      </c>
      <c r="E802" s="44">
        <v>812.32899999999995</v>
      </c>
      <c r="F802" s="38">
        <v>1274</v>
      </c>
      <c r="G802" s="38">
        <v>50</v>
      </c>
      <c r="H802" s="46">
        <v>600</v>
      </c>
      <c r="I802" s="38">
        <v>695</v>
      </c>
      <c r="J802" s="38">
        <v>50</v>
      </c>
      <c r="K802" s="39"/>
      <c r="L802" s="39"/>
      <c r="M802" s="39"/>
      <c r="N802" s="39"/>
      <c r="O802" s="39"/>
      <c r="P802" s="39"/>
      <c r="Q802" s="39"/>
      <c r="R802" s="39"/>
      <c r="S802" s="39"/>
      <c r="T802" s="39"/>
    </row>
    <row r="803" spans="1:20" ht="15.75">
      <c r="A803" s="13">
        <v>65592</v>
      </c>
      <c r="B803" s="47">
        <f t="shared" si="3"/>
        <v>31</v>
      </c>
      <c r="C803" s="38">
        <v>194.20500000000001</v>
      </c>
      <c r="D803" s="38">
        <v>267.46600000000001</v>
      </c>
      <c r="E803" s="44">
        <v>812.32899999999995</v>
      </c>
      <c r="F803" s="38">
        <v>1274</v>
      </c>
      <c r="G803" s="38">
        <v>50</v>
      </c>
      <c r="H803" s="46">
        <v>600</v>
      </c>
      <c r="I803" s="38">
        <v>695</v>
      </c>
      <c r="J803" s="38">
        <v>0</v>
      </c>
      <c r="K803" s="39"/>
      <c r="L803" s="39"/>
      <c r="M803" s="39"/>
      <c r="N803" s="39"/>
      <c r="O803" s="39"/>
      <c r="P803" s="39"/>
      <c r="Q803" s="39"/>
      <c r="R803" s="39"/>
      <c r="S803" s="39"/>
      <c r="T803" s="39"/>
    </row>
    <row r="804" spans="1:20" ht="15.75">
      <c r="A804" s="13">
        <v>65623</v>
      </c>
      <c r="B804" s="47">
        <f t="shared" si="3"/>
        <v>31</v>
      </c>
      <c r="C804" s="38">
        <v>194.20500000000001</v>
      </c>
      <c r="D804" s="38">
        <v>267.46600000000001</v>
      </c>
      <c r="E804" s="44">
        <v>812.32899999999995</v>
      </c>
      <c r="F804" s="38">
        <v>1274</v>
      </c>
      <c r="G804" s="38">
        <v>50</v>
      </c>
      <c r="H804" s="46">
        <v>600</v>
      </c>
      <c r="I804" s="38">
        <v>695</v>
      </c>
      <c r="J804" s="38">
        <v>0</v>
      </c>
      <c r="K804" s="39"/>
      <c r="L804" s="39"/>
      <c r="M804" s="39"/>
      <c r="N804" s="39"/>
      <c r="O804" s="39"/>
      <c r="P804" s="39"/>
      <c r="Q804" s="39"/>
      <c r="R804" s="39"/>
      <c r="S804" s="39"/>
      <c r="T804" s="39"/>
    </row>
    <row r="805" spans="1:20" ht="15.75">
      <c r="A805" s="13">
        <v>65653</v>
      </c>
      <c r="B805" s="47">
        <f t="shared" si="3"/>
        <v>30</v>
      </c>
      <c r="C805" s="38">
        <v>194.20500000000001</v>
      </c>
      <c r="D805" s="38">
        <v>267.46600000000001</v>
      </c>
      <c r="E805" s="44">
        <v>812.32899999999995</v>
      </c>
      <c r="F805" s="38">
        <v>1274</v>
      </c>
      <c r="G805" s="38">
        <v>50</v>
      </c>
      <c r="H805" s="46">
        <v>600</v>
      </c>
      <c r="I805" s="38">
        <v>695</v>
      </c>
      <c r="J805" s="38">
        <v>0</v>
      </c>
      <c r="K805" s="39"/>
      <c r="L805" s="39"/>
      <c r="M805" s="39"/>
      <c r="N805" s="39"/>
      <c r="O805" s="39"/>
      <c r="P805" s="39"/>
      <c r="Q805" s="39"/>
      <c r="R805" s="39"/>
      <c r="S805" s="39"/>
      <c r="T805" s="39"/>
    </row>
    <row r="806" spans="1:20" ht="15.75">
      <c r="A806" s="13">
        <v>65684</v>
      </c>
      <c r="B806" s="47">
        <f t="shared" si="3"/>
        <v>31</v>
      </c>
      <c r="C806" s="38">
        <v>131.881</v>
      </c>
      <c r="D806" s="38">
        <v>277.16699999999997</v>
      </c>
      <c r="E806" s="44">
        <v>829.952</v>
      </c>
      <c r="F806" s="38">
        <v>1239</v>
      </c>
      <c r="G806" s="38">
        <v>75</v>
      </c>
      <c r="H806" s="46">
        <v>600</v>
      </c>
      <c r="I806" s="38">
        <v>695</v>
      </c>
      <c r="J806" s="38">
        <v>0</v>
      </c>
      <c r="K806" s="39"/>
      <c r="L806" s="39"/>
      <c r="M806" s="39"/>
      <c r="N806" s="39"/>
      <c r="O806" s="39"/>
      <c r="P806" s="39"/>
      <c r="Q806" s="39"/>
      <c r="R806" s="39"/>
      <c r="S806" s="39"/>
      <c r="T806" s="39"/>
    </row>
    <row r="807" spans="1:20" ht="15.75">
      <c r="A807" s="13">
        <v>65714</v>
      </c>
      <c r="B807" s="47">
        <f t="shared" si="3"/>
        <v>30</v>
      </c>
      <c r="C807" s="38">
        <v>122.58</v>
      </c>
      <c r="D807" s="38">
        <v>297.94099999999997</v>
      </c>
      <c r="E807" s="44">
        <v>729.47900000000004</v>
      </c>
      <c r="F807" s="38">
        <v>1150</v>
      </c>
      <c r="G807" s="38">
        <v>100</v>
      </c>
      <c r="H807" s="46">
        <v>600</v>
      </c>
      <c r="I807" s="38">
        <v>695</v>
      </c>
      <c r="J807" s="38">
        <v>50</v>
      </c>
      <c r="K807" s="39"/>
      <c r="L807" s="39"/>
      <c r="M807" s="39"/>
      <c r="N807" s="39"/>
      <c r="O807" s="39"/>
      <c r="P807" s="39"/>
      <c r="Q807" s="39"/>
      <c r="R807" s="39"/>
      <c r="S807" s="39"/>
      <c r="T807" s="39"/>
    </row>
    <row r="808" spans="1:20" ht="15.75">
      <c r="A808" s="13">
        <v>65745</v>
      </c>
      <c r="B808" s="47">
        <f t="shared" si="3"/>
        <v>31</v>
      </c>
      <c r="C808" s="38">
        <v>122.58</v>
      </c>
      <c r="D808" s="38">
        <v>297.94099999999997</v>
      </c>
      <c r="E808" s="44">
        <v>729.47900000000004</v>
      </c>
      <c r="F808" s="38">
        <v>1150</v>
      </c>
      <c r="G808" s="38">
        <v>100</v>
      </c>
      <c r="H808" s="46">
        <v>600</v>
      </c>
      <c r="I808" s="38">
        <v>695</v>
      </c>
      <c r="J808" s="38">
        <v>50</v>
      </c>
      <c r="K808" s="39"/>
      <c r="L808" s="39"/>
      <c r="M808" s="39"/>
      <c r="N808" s="39"/>
      <c r="O808" s="39"/>
      <c r="P808" s="39"/>
      <c r="Q808" s="39"/>
      <c r="R808" s="39"/>
      <c r="S808" s="39"/>
      <c r="T808" s="39"/>
    </row>
    <row r="809" spans="1:20" ht="15.75">
      <c r="A809" s="13">
        <v>65776</v>
      </c>
      <c r="B809" s="47">
        <f t="shared" si="3"/>
        <v>31</v>
      </c>
      <c r="C809" s="38">
        <v>122.58</v>
      </c>
      <c r="D809" s="38">
        <v>297.94099999999997</v>
      </c>
      <c r="E809" s="44">
        <v>729.47900000000004</v>
      </c>
      <c r="F809" s="38">
        <v>1150</v>
      </c>
      <c r="G809" s="38">
        <v>100</v>
      </c>
      <c r="H809" s="46">
        <v>600</v>
      </c>
      <c r="I809" s="38">
        <v>695</v>
      </c>
      <c r="J809" s="38">
        <v>50</v>
      </c>
      <c r="K809" s="39"/>
      <c r="L809" s="39"/>
      <c r="M809" s="39"/>
      <c r="N809" s="39"/>
      <c r="O809" s="39"/>
      <c r="P809" s="39"/>
      <c r="Q809" s="39"/>
      <c r="R809" s="39"/>
      <c r="S809" s="39"/>
      <c r="T809" s="39"/>
    </row>
    <row r="810" spans="1:20" ht="15.75">
      <c r="A810" s="13">
        <v>65805</v>
      </c>
      <c r="B810" s="47">
        <f t="shared" si="3"/>
        <v>29</v>
      </c>
      <c r="C810" s="38">
        <v>122.58</v>
      </c>
      <c r="D810" s="38">
        <v>297.94099999999997</v>
      </c>
      <c r="E810" s="44">
        <v>729.47900000000004</v>
      </c>
      <c r="F810" s="38">
        <v>1150</v>
      </c>
      <c r="G810" s="38">
        <v>100</v>
      </c>
      <c r="H810" s="46">
        <v>600</v>
      </c>
      <c r="I810" s="38">
        <v>695</v>
      </c>
      <c r="J810" s="38">
        <v>50</v>
      </c>
      <c r="K810" s="39"/>
      <c r="L810" s="39"/>
      <c r="M810" s="39"/>
      <c r="N810" s="39"/>
      <c r="O810" s="39"/>
      <c r="P810" s="39"/>
      <c r="Q810" s="39"/>
      <c r="R810" s="39"/>
      <c r="S810" s="39"/>
      <c r="T810" s="39"/>
    </row>
    <row r="811" spans="1:20" ht="15.75">
      <c r="A811" s="13">
        <v>65836</v>
      </c>
      <c r="B811" s="47">
        <f t="shared" si="3"/>
        <v>31</v>
      </c>
      <c r="C811" s="38">
        <v>122.58</v>
      </c>
      <c r="D811" s="38">
        <v>297.94099999999997</v>
      </c>
      <c r="E811" s="44">
        <v>729.47900000000004</v>
      </c>
      <c r="F811" s="38">
        <v>1150</v>
      </c>
      <c r="G811" s="38">
        <v>100</v>
      </c>
      <c r="H811" s="46">
        <v>600</v>
      </c>
      <c r="I811" s="38">
        <v>695</v>
      </c>
      <c r="J811" s="38">
        <v>50</v>
      </c>
      <c r="K811" s="39"/>
      <c r="L811" s="39"/>
      <c r="M811" s="39"/>
      <c r="N811" s="39"/>
      <c r="O811" s="39"/>
      <c r="P811" s="39"/>
      <c r="Q811" s="39"/>
      <c r="R811" s="39"/>
      <c r="S811" s="39"/>
      <c r="T811" s="39"/>
    </row>
    <row r="812" spans="1:20" ht="15.75">
      <c r="A812" s="13">
        <v>65866</v>
      </c>
      <c r="B812" s="47">
        <f t="shared" si="3"/>
        <v>30</v>
      </c>
      <c r="C812" s="38">
        <v>141.29300000000001</v>
      </c>
      <c r="D812" s="38">
        <v>267.99299999999999</v>
      </c>
      <c r="E812" s="44">
        <v>829.71400000000006</v>
      </c>
      <c r="F812" s="38">
        <v>1239</v>
      </c>
      <c r="G812" s="38">
        <v>100</v>
      </c>
      <c r="H812" s="46">
        <v>600</v>
      </c>
      <c r="I812" s="38">
        <v>695</v>
      </c>
      <c r="J812" s="38">
        <v>50</v>
      </c>
      <c r="K812" s="39"/>
      <c r="L812" s="39"/>
      <c r="M812" s="39"/>
      <c r="N812" s="39"/>
      <c r="O812" s="39"/>
      <c r="P812" s="39"/>
      <c r="Q812" s="39"/>
      <c r="R812" s="39"/>
      <c r="S812" s="39"/>
      <c r="T812" s="39"/>
    </row>
    <row r="813" spans="1:20" ht="15.75">
      <c r="A813" s="13">
        <v>65897</v>
      </c>
      <c r="B813" s="47">
        <f t="shared" si="3"/>
        <v>31</v>
      </c>
      <c r="C813" s="38">
        <v>194.20500000000001</v>
      </c>
      <c r="D813" s="38">
        <v>267.46600000000001</v>
      </c>
      <c r="E813" s="44">
        <v>812.32899999999995</v>
      </c>
      <c r="F813" s="38">
        <v>1274</v>
      </c>
      <c r="G813" s="38">
        <v>75</v>
      </c>
      <c r="H813" s="46">
        <v>600</v>
      </c>
      <c r="I813" s="38">
        <v>695</v>
      </c>
      <c r="J813" s="38">
        <v>50</v>
      </c>
      <c r="K813" s="39"/>
      <c r="L813" s="39"/>
      <c r="M813" s="39"/>
      <c r="N813" s="39"/>
      <c r="O813" s="39"/>
      <c r="P813" s="39"/>
      <c r="Q813" s="39"/>
      <c r="R813" s="39"/>
      <c r="S813" s="39"/>
      <c r="T813" s="39"/>
    </row>
    <row r="814" spans="1:20" ht="15.75">
      <c r="A814" s="13">
        <v>65927</v>
      </c>
      <c r="B814" s="47">
        <f t="shared" si="3"/>
        <v>30</v>
      </c>
      <c r="C814" s="38">
        <v>194.20500000000001</v>
      </c>
      <c r="D814" s="38">
        <v>267.46600000000001</v>
      </c>
      <c r="E814" s="44">
        <v>812.32899999999995</v>
      </c>
      <c r="F814" s="38">
        <v>1274</v>
      </c>
      <c r="G814" s="38">
        <v>50</v>
      </c>
      <c r="H814" s="46">
        <v>600</v>
      </c>
      <c r="I814" s="38">
        <v>695</v>
      </c>
      <c r="J814" s="38">
        <v>50</v>
      </c>
      <c r="K814" s="39"/>
      <c r="L814" s="39"/>
      <c r="M814" s="39"/>
      <c r="N814" s="39"/>
      <c r="O814" s="39"/>
      <c r="P814" s="39"/>
      <c r="Q814" s="39"/>
      <c r="R814" s="39"/>
      <c r="S814" s="39"/>
      <c r="T814" s="39"/>
    </row>
    <row r="815" spans="1:20" ht="15.75">
      <c r="A815" s="13">
        <v>65958</v>
      </c>
      <c r="B815" s="47">
        <f t="shared" si="3"/>
        <v>31</v>
      </c>
      <c r="C815" s="38">
        <v>194.20500000000001</v>
      </c>
      <c r="D815" s="38">
        <v>267.46600000000001</v>
      </c>
      <c r="E815" s="44">
        <v>812.32899999999995</v>
      </c>
      <c r="F815" s="38">
        <v>1274</v>
      </c>
      <c r="G815" s="38">
        <v>50</v>
      </c>
      <c r="H815" s="46">
        <v>600</v>
      </c>
      <c r="I815" s="38">
        <v>695</v>
      </c>
      <c r="J815" s="38">
        <v>0</v>
      </c>
      <c r="K815" s="39"/>
      <c r="L815" s="39"/>
      <c r="M815" s="39"/>
      <c r="N815" s="39"/>
      <c r="O815" s="39"/>
      <c r="P815" s="39"/>
      <c r="Q815" s="39"/>
      <c r="R815" s="39"/>
      <c r="S815" s="39"/>
      <c r="T815" s="39"/>
    </row>
    <row r="816" spans="1:20" ht="15.75">
      <c r="A816" s="13">
        <v>65989</v>
      </c>
      <c r="B816" s="47">
        <f t="shared" si="3"/>
        <v>31</v>
      </c>
      <c r="C816" s="38">
        <v>194.20500000000001</v>
      </c>
      <c r="D816" s="38">
        <v>267.46600000000001</v>
      </c>
      <c r="E816" s="44">
        <v>812.32899999999995</v>
      </c>
      <c r="F816" s="38">
        <v>1274</v>
      </c>
      <c r="G816" s="38">
        <v>50</v>
      </c>
      <c r="H816" s="46">
        <v>600</v>
      </c>
      <c r="I816" s="38">
        <v>695</v>
      </c>
      <c r="J816" s="38">
        <v>0</v>
      </c>
      <c r="K816" s="39"/>
      <c r="L816" s="39"/>
      <c r="M816" s="39"/>
      <c r="N816" s="39"/>
      <c r="O816" s="39"/>
      <c r="P816" s="39"/>
      <c r="Q816" s="39"/>
      <c r="R816" s="39"/>
      <c r="S816" s="39"/>
      <c r="T816" s="39"/>
    </row>
    <row r="817" spans="1:20" ht="15.75">
      <c r="A817" s="13">
        <v>66019</v>
      </c>
      <c r="B817" s="47">
        <f t="shared" si="3"/>
        <v>30</v>
      </c>
      <c r="C817" s="38">
        <v>194.20500000000001</v>
      </c>
      <c r="D817" s="38">
        <v>267.46600000000001</v>
      </c>
      <c r="E817" s="44">
        <v>812.32899999999995</v>
      </c>
      <c r="F817" s="38">
        <v>1274</v>
      </c>
      <c r="G817" s="38">
        <v>50</v>
      </c>
      <c r="H817" s="46">
        <v>600</v>
      </c>
      <c r="I817" s="38">
        <v>695</v>
      </c>
      <c r="J817" s="38">
        <v>0</v>
      </c>
      <c r="K817" s="39"/>
      <c r="L817" s="39"/>
      <c r="M817" s="39"/>
      <c r="N817" s="39"/>
      <c r="O817" s="39"/>
      <c r="P817" s="39"/>
      <c r="Q817" s="39"/>
      <c r="R817" s="39"/>
      <c r="S817" s="39"/>
      <c r="T817" s="39"/>
    </row>
    <row r="818" spans="1:20" ht="15.75">
      <c r="A818" s="13">
        <v>66050</v>
      </c>
      <c r="B818" s="47">
        <f t="shared" si="3"/>
        <v>31</v>
      </c>
      <c r="C818" s="38">
        <v>131.881</v>
      </c>
      <c r="D818" s="38">
        <v>277.16699999999997</v>
      </c>
      <c r="E818" s="44">
        <v>829.952</v>
      </c>
      <c r="F818" s="38">
        <v>1239</v>
      </c>
      <c r="G818" s="38">
        <v>75</v>
      </c>
      <c r="H818" s="46">
        <v>600</v>
      </c>
      <c r="I818" s="38">
        <v>695</v>
      </c>
      <c r="J818" s="38">
        <v>0</v>
      </c>
      <c r="K818" s="39"/>
      <c r="L818" s="39"/>
      <c r="M818" s="39"/>
      <c r="N818" s="39"/>
      <c r="O818" s="39"/>
      <c r="P818" s="39"/>
      <c r="Q818" s="39"/>
      <c r="R818" s="39"/>
      <c r="S818" s="39"/>
      <c r="T818" s="39"/>
    </row>
    <row r="819" spans="1:20" ht="15.75">
      <c r="A819" s="13">
        <v>66080</v>
      </c>
      <c r="B819" s="47">
        <f t="shared" si="3"/>
        <v>30</v>
      </c>
      <c r="C819" s="38">
        <v>122.58</v>
      </c>
      <c r="D819" s="38">
        <v>297.94099999999997</v>
      </c>
      <c r="E819" s="44">
        <v>729.47900000000004</v>
      </c>
      <c r="F819" s="38">
        <v>1150</v>
      </c>
      <c r="G819" s="38">
        <v>100</v>
      </c>
      <c r="H819" s="46">
        <v>600</v>
      </c>
      <c r="I819" s="38">
        <v>695</v>
      </c>
      <c r="J819" s="38">
        <v>50</v>
      </c>
      <c r="K819" s="39"/>
      <c r="L819" s="39"/>
      <c r="M819" s="39"/>
      <c r="N819" s="39"/>
      <c r="O819" s="39"/>
      <c r="P819" s="39"/>
      <c r="Q819" s="39"/>
      <c r="R819" s="39"/>
      <c r="S819" s="39"/>
      <c r="T819" s="39"/>
    </row>
    <row r="820" spans="1:20" ht="15.75">
      <c r="A820" s="13">
        <v>66111</v>
      </c>
      <c r="B820" s="47">
        <f t="shared" si="3"/>
        <v>31</v>
      </c>
      <c r="C820" s="38">
        <v>122.58</v>
      </c>
      <c r="D820" s="38">
        <v>297.94099999999997</v>
      </c>
      <c r="E820" s="44">
        <v>729.47900000000004</v>
      </c>
      <c r="F820" s="38">
        <v>1150</v>
      </c>
      <c r="G820" s="38">
        <v>100</v>
      </c>
      <c r="H820" s="46">
        <v>600</v>
      </c>
      <c r="I820" s="38">
        <v>695</v>
      </c>
      <c r="J820" s="38">
        <v>50</v>
      </c>
      <c r="K820" s="39"/>
      <c r="L820" s="39"/>
      <c r="M820" s="39"/>
      <c r="N820" s="39"/>
      <c r="O820" s="39"/>
      <c r="P820" s="39"/>
      <c r="Q820" s="39"/>
      <c r="R820" s="39"/>
      <c r="S820" s="39"/>
      <c r="T820" s="39"/>
    </row>
    <row r="821" spans="1:20" ht="15.75">
      <c r="A821" s="13">
        <v>66142</v>
      </c>
      <c r="B821" s="47">
        <f t="shared" si="3"/>
        <v>31</v>
      </c>
      <c r="C821" s="38">
        <v>122.58</v>
      </c>
      <c r="D821" s="38">
        <v>297.94099999999997</v>
      </c>
      <c r="E821" s="44">
        <v>729.47900000000004</v>
      </c>
      <c r="F821" s="38">
        <v>1150</v>
      </c>
      <c r="G821" s="38">
        <v>100</v>
      </c>
      <c r="H821" s="46">
        <v>600</v>
      </c>
      <c r="I821" s="38">
        <v>695</v>
      </c>
      <c r="J821" s="38">
        <v>50</v>
      </c>
      <c r="K821" s="39"/>
      <c r="L821" s="39"/>
      <c r="M821" s="39"/>
      <c r="N821" s="39"/>
      <c r="O821" s="39"/>
      <c r="P821" s="39"/>
      <c r="Q821" s="39"/>
      <c r="R821" s="39"/>
      <c r="S821" s="39"/>
      <c r="T821" s="39"/>
    </row>
    <row r="822" spans="1:20" ht="15.75">
      <c r="A822" s="13">
        <v>66170</v>
      </c>
      <c r="B822" s="47">
        <f t="shared" si="3"/>
        <v>28</v>
      </c>
      <c r="C822" s="38">
        <v>122.58</v>
      </c>
      <c r="D822" s="38">
        <v>297.94099999999997</v>
      </c>
      <c r="E822" s="44">
        <v>729.47900000000004</v>
      </c>
      <c r="F822" s="38">
        <v>1150</v>
      </c>
      <c r="G822" s="38">
        <v>100</v>
      </c>
      <c r="H822" s="46">
        <v>600</v>
      </c>
      <c r="I822" s="38">
        <v>695</v>
      </c>
      <c r="J822" s="38">
        <v>50</v>
      </c>
      <c r="K822" s="39"/>
      <c r="L822" s="39"/>
      <c r="M822" s="39"/>
      <c r="N822" s="39"/>
      <c r="O822" s="39"/>
      <c r="P822" s="39"/>
      <c r="Q822" s="39"/>
      <c r="R822" s="39"/>
      <c r="S822" s="39"/>
      <c r="T822" s="39"/>
    </row>
    <row r="823" spans="1:20" ht="15.75">
      <c r="A823" s="13">
        <v>66201</v>
      </c>
      <c r="B823" s="47">
        <f t="shared" si="3"/>
        <v>31</v>
      </c>
      <c r="C823" s="38">
        <v>122.58</v>
      </c>
      <c r="D823" s="38">
        <v>297.94099999999997</v>
      </c>
      <c r="E823" s="44">
        <v>729.47900000000004</v>
      </c>
      <c r="F823" s="38">
        <v>1150</v>
      </c>
      <c r="G823" s="38">
        <v>100</v>
      </c>
      <c r="H823" s="46">
        <v>600</v>
      </c>
      <c r="I823" s="38">
        <v>695</v>
      </c>
      <c r="J823" s="38">
        <v>50</v>
      </c>
      <c r="K823" s="39"/>
      <c r="L823" s="39"/>
      <c r="M823" s="39"/>
      <c r="N823" s="39"/>
      <c r="O823" s="39"/>
      <c r="P823" s="39"/>
      <c r="Q823" s="39"/>
      <c r="R823" s="39"/>
      <c r="S823" s="39"/>
      <c r="T823" s="39"/>
    </row>
    <row r="824" spans="1:20" ht="15.75">
      <c r="A824" s="13">
        <v>66231</v>
      </c>
      <c r="B824" s="47">
        <f t="shared" si="3"/>
        <v>30</v>
      </c>
      <c r="C824" s="38">
        <v>141.29300000000001</v>
      </c>
      <c r="D824" s="38">
        <v>267.99299999999999</v>
      </c>
      <c r="E824" s="44">
        <v>829.71400000000006</v>
      </c>
      <c r="F824" s="38">
        <v>1239</v>
      </c>
      <c r="G824" s="38">
        <v>100</v>
      </c>
      <c r="H824" s="46">
        <v>600</v>
      </c>
      <c r="I824" s="38">
        <v>695</v>
      </c>
      <c r="J824" s="38">
        <v>50</v>
      </c>
      <c r="K824" s="39"/>
      <c r="L824" s="39"/>
      <c r="M824" s="39"/>
      <c r="N824" s="39"/>
      <c r="O824" s="39"/>
      <c r="P824" s="39"/>
      <c r="Q824" s="39"/>
      <c r="R824" s="39"/>
      <c r="S824" s="39"/>
      <c r="T824" s="39"/>
    </row>
    <row r="825" spans="1:20" ht="15.75">
      <c r="A825" s="13">
        <v>66262</v>
      </c>
      <c r="B825" s="47">
        <f t="shared" si="3"/>
        <v>31</v>
      </c>
      <c r="C825" s="38">
        <v>194.20500000000001</v>
      </c>
      <c r="D825" s="38">
        <v>267.46600000000001</v>
      </c>
      <c r="E825" s="44">
        <v>812.32899999999995</v>
      </c>
      <c r="F825" s="38">
        <v>1274</v>
      </c>
      <c r="G825" s="38">
        <v>75</v>
      </c>
      <c r="H825" s="46">
        <v>600</v>
      </c>
      <c r="I825" s="38">
        <v>695</v>
      </c>
      <c r="J825" s="38">
        <v>50</v>
      </c>
      <c r="K825" s="39"/>
      <c r="L825" s="39"/>
      <c r="M825" s="39"/>
      <c r="N825" s="39"/>
      <c r="O825" s="39"/>
      <c r="P825" s="39"/>
      <c r="Q825" s="39"/>
      <c r="R825" s="39"/>
      <c r="S825" s="39"/>
      <c r="T825" s="39"/>
    </row>
    <row r="826" spans="1:20" ht="15.75">
      <c r="A826" s="13">
        <v>66292</v>
      </c>
      <c r="B826" s="47">
        <f t="shared" si="3"/>
        <v>30</v>
      </c>
      <c r="C826" s="38">
        <v>194.20500000000001</v>
      </c>
      <c r="D826" s="38">
        <v>267.46600000000001</v>
      </c>
      <c r="E826" s="44">
        <v>812.32899999999995</v>
      </c>
      <c r="F826" s="38">
        <v>1274</v>
      </c>
      <c r="G826" s="38">
        <v>50</v>
      </c>
      <c r="H826" s="46">
        <v>600</v>
      </c>
      <c r="I826" s="38">
        <v>695</v>
      </c>
      <c r="J826" s="38">
        <v>50</v>
      </c>
      <c r="K826" s="39"/>
      <c r="L826" s="39"/>
      <c r="M826" s="39"/>
      <c r="N826" s="39"/>
      <c r="O826" s="39"/>
      <c r="P826" s="39"/>
      <c r="Q826" s="39"/>
      <c r="R826" s="39"/>
      <c r="S826" s="39"/>
      <c r="T826" s="39"/>
    </row>
    <row r="827" spans="1:20" ht="15.75">
      <c r="A827" s="13">
        <v>66323</v>
      </c>
      <c r="B827" s="47">
        <f t="shared" si="3"/>
        <v>31</v>
      </c>
      <c r="C827" s="38">
        <v>194.20500000000001</v>
      </c>
      <c r="D827" s="38">
        <v>267.46600000000001</v>
      </c>
      <c r="E827" s="44">
        <v>812.32899999999995</v>
      </c>
      <c r="F827" s="38">
        <v>1274</v>
      </c>
      <c r="G827" s="38">
        <v>50</v>
      </c>
      <c r="H827" s="46">
        <v>600</v>
      </c>
      <c r="I827" s="38">
        <v>695</v>
      </c>
      <c r="J827" s="38">
        <v>0</v>
      </c>
      <c r="K827" s="39"/>
      <c r="L827" s="39"/>
      <c r="M827" s="39"/>
      <c r="N827" s="39"/>
      <c r="O827" s="39"/>
      <c r="P827" s="39"/>
      <c r="Q827" s="39"/>
      <c r="R827" s="39"/>
      <c r="S827" s="39"/>
      <c r="T827" s="39"/>
    </row>
    <row r="828" spans="1:20" ht="15.75">
      <c r="A828" s="13">
        <v>66354</v>
      </c>
      <c r="B828" s="47">
        <f t="shared" si="3"/>
        <v>31</v>
      </c>
      <c r="C828" s="38">
        <v>194.20500000000001</v>
      </c>
      <c r="D828" s="38">
        <v>267.46600000000001</v>
      </c>
      <c r="E828" s="44">
        <v>812.32899999999995</v>
      </c>
      <c r="F828" s="38">
        <v>1274</v>
      </c>
      <c r="G828" s="38">
        <v>50</v>
      </c>
      <c r="H828" s="46">
        <v>600</v>
      </c>
      <c r="I828" s="38">
        <v>695</v>
      </c>
      <c r="J828" s="38">
        <v>0</v>
      </c>
      <c r="K828" s="39"/>
      <c r="L828" s="39"/>
      <c r="M828" s="39"/>
      <c r="N828" s="39"/>
      <c r="O828" s="39"/>
      <c r="P828" s="39"/>
      <c r="Q828" s="39"/>
      <c r="R828" s="39"/>
      <c r="S828" s="39"/>
      <c r="T828" s="39"/>
    </row>
    <row r="829" spans="1:20" ht="15.75">
      <c r="A829" s="13">
        <v>66384</v>
      </c>
      <c r="B829" s="47">
        <f t="shared" si="3"/>
        <v>30</v>
      </c>
      <c r="C829" s="38">
        <v>194.20500000000001</v>
      </c>
      <c r="D829" s="38">
        <v>267.46600000000001</v>
      </c>
      <c r="E829" s="44">
        <v>812.32899999999995</v>
      </c>
      <c r="F829" s="38">
        <v>1274</v>
      </c>
      <c r="G829" s="38">
        <v>50</v>
      </c>
      <c r="H829" s="46">
        <v>600</v>
      </c>
      <c r="I829" s="38">
        <v>695</v>
      </c>
      <c r="J829" s="38">
        <v>0</v>
      </c>
      <c r="K829" s="39"/>
      <c r="L829" s="39"/>
      <c r="M829" s="39"/>
      <c r="N829" s="39"/>
      <c r="O829" s="39"/>
      <c r="P829" s="39"/>
      <c r="Q829" s="39"/>
      <c r="R829" s="39"/>
      <c r="S829" s="39"/>
      <c r="T829" s="39"/>
    </row>
    <row r="830" spans="1:20" ht="15.75">
      <c r="A830" s="13">
        <v>66415</v>
      </c>
      <c r="B830" s="47">
        <f t="shared" si="3"/>
        <v>31</v>
      </c>
      <c r="C830" s="38">
        <v>131.881</v>
      </c>
      <c r="D830" s="38">
        <v>277.16699999999997</v>
      </c>
      <c r="E830" s="44">
        <v>829.952</v>
      </c>
      <c r="F830" s="38">
        <v>1239</v>
      </c>
      <c r="G830" s="38">
        <v>75</v>
      </c>
      <c r="H830" s="46">
        <v>600</v>
      </c>
      <c r="I830" s="38">
        <v>695</v>
      </c>
      <c r="J830" s="38">
        <v>0</v>
      </c>
      <c r="K830" s="39"/>
      <c r="L830" s="39"/>
      <c r="M830" s="39"/>
      <c r="N830" s="39"/>
      <c r="O830" s="39"/>
      <c r="P830" s="39"/>
      <c r="Q830" s="39"/>
      <c r="R830" s="39"/>
      <c r="S830" s="39"/>
      <c r="T830" s="39"/>
    </row>
    <row r="831" spans="1:20" ht="15.75">
      <c r="A831" s="13">
        <v>66445</v>
      </c>
      <c r="B831" s="47">
        <f t="shared" si="3"/>
        <v>30</v>
      </c>
      <c r="C831" s="38">
        <v>122.58</v>
      </c>
      <c r="D831" s="38">
        <v>297.94099999999997</v>
      </c>
      <c r="E831" s="44">
        <v>729.47900000000004</v>
      </c>
      <c r="F831" s="38">
        <v>1150</v>
      </c>
      <c r="G831" s="38">
        <v>100</v>
      </c>
      <c r="H831" s="46">
        <v>600</v>
      </c>
      <c r="I831" s="38">
        <v>695</v>
      </c>
      <c r="J831" s="38">
        <v>50</v>
      </c>
      <c r="K831" s="39"/>
      <c r="L831" s="39"/>
      <c r="M831" s="39"/>
      <c r="N831" s="39"/>
      <c r="O831" s="39"/>
      <c r="P831" s="39"/>
      <c r="Q831" s="39"/>
      <c r="R831" s="39"/>
      <c r="S831" s="39"/>
      <c r="T831" s="39"/>
    </row>
    <row r="832" spans="1:20" ht="15.75">
      <c r="A832" s="13">
        <v>66476</v>
      </c>
      <c r="B832" s="47">
        <f t="shared" si="3"/>
        <v>31</v>
      </c>
      <c r="C832" s="38">
        <v>122.58</v>
      </c>
      <c r="D832" s="38">
        <v>297.94099999999997</v>
      </c>
      <c r="E832" s="44">
        <v>729.47900000000004</v>
      </c>
      <c r="F832" s="38">
        <v>1150</v>
      </c>
      <c r="G832" s="38">
        <v>100</v>
      </c>
      <c r="H832" s="46">
        <v>600</v>
      </c>
      <c r="I832" s="38">
        <v>695</v>
      </c>
      <c r="J832" s="38">
        <v>50</v>
      </c>
      <c r="K832" s="39"/>
      <c r="L832" s="39"/>
      <c r="M832" s="39"/>
      <c r="N832" s="39"/>
      <c r="O832" s="39"/>
      <c r="P832" s="39"/>
      <c r="Q832" s="39"/>
      <c r="R832" s="39"/>
      <c r="S832" s="39"/>
      <c r="T832" s="39"/>
    </row>
    <row r="833" spans="1:20" ht="15.75">
      <c r="A833" s="13">
        <v>66507</v>
      </c>
      <c r="B833" s="47">
        <f t="shared" si="3"/>
        <v>31</v>
      </c>
      <c r="C833" s="38">
        <v>122.58</v>
      </c>
      <c r="D833" s="38">
        <v>297.94099999999997</v>
      </c>
      <c r="E833" s="44">
        <v>729.47900000000004</v>
      </c>
      <c r="F833" s="38">
        <v>1150</v>
      </c>
      <c r="G833" s="38">
        <v>100</v>
      </c>
      <c r="H833" s="46">
        <v>600</v>
      </c>
      <c r="I833" s="38">
        <v>695</v>
      </c>
      <c r="J833" s="38">
        <v>50</v>
      </c>
      <c r="K833" s="39"/>
      <c r="L833" s="39"/>
      <c r="M833" s="39"/>
      <c r="N833" s="39"/>
      <c r="O833" s="39"/>
      <c r="P833" s="39"/>
      <c r="Q833" s="39"/>
      <c r="R833" s="39"/>
      <c r="S833" s="39"/>
      <c r="T833" s="39"/>
    </row>
    <row r="834" spans="1:20" ht="15.75">
      <c r="A834" s="13">
        <v>66535</v>
      </c>
      <c r="B834" s="47">
        <f t="shared" si="3"/>
        <v>28</v>
      </c>
      <c r="C834" s="38">
        <v>122.58</v>
      </c>
      <c r="D834" s="38">
        <v>297.94099999999997</v>
      </c>
      <c r="E834" s="44">
        <v>729.47900000000004</v>
      </c>
      <c r="F834" s="38">
        <v>1150</v>
      </c>
      <c r="G834" s="38">
        <v>100</v>
      </c>
      <c r="H834" s="46">
        <v>600</v>
      </c>
      <c r="I834" s="38">
        <v>695</v>
      </c>
      <c r="J834" s="38">
        <v>50</v>
      </c>
      <c r="K834" s="39"/>
      <c r="L834" s="39"/>
      <c r="M834" s="39"/>
      <c r="N834" s="39"/>
      <c r="O834" s="39"/>
      <c r="P834" s="39"/>
      <c r="Q834" s="39"/>
      <c r="R834" s="39"/>
      <c r="S834" s="39"/>
      <c r="T834" s="39"/>
    </row>
    <row r="835" spans="1:20" ht="15.75">
      <c r="A835" s="13">
        <v>66566</v>
      </c>
      <c r="B835" s="47">
        <f t="shared" si="3"/>
        <v>31</v>
      </c>
      <c r="C835" s="38">
        <v>122.58</v>
      </c>
      <c r="D835" s="38">
        <v>297.94099999999997</v>
      </c>
      <c r="E835" s="44">
        <v>729.47900000000004</v>
      </c>
      <c r="F835" s="38">
        <v>1150</v>
      </c>
      <c r="G835" s="38">
        <v>100</v>
      </c>
      <c r="H835" s="46">
        <v>600</v>
      </c>
      <c r="I835" s="38">
        <v>695</v>
      </c>
      <c r="J835" s="38">
        <v>50</v>
      </c>
      <c r="K835" s="39"/>
      <c r="L835" s="39"/>
      <c r="M835" s="39"/>
      <c r="N835" s="39"/>
      <c r="O835" s="39"/>
      <c r="P835" s="39"/>
      <c r="Q835" s="39"/>
      <c r="R835" s="39"/>
      <c r="S835" s="39"/>
      <c r="T835" s="39"/>
    </row>
    <row r="836" spans="1:20" ht="15.75">
      <c r="A836" s="13">
        <v>66596</v>
      </c>
      <c r="B836" s="47">
        <f t="shared" si="3"/>
        <v>30</v>
      </c>
      <c r="C836" s="38">
        <v>141.29300000000001</v>
      </c>
      <c r="D836" s="38">
        <v>267.99299999999999</v>
      </c>
      <c r="E836" s="44">
        <v>829.71400000000006</v>
      </c>
      <c r="F836" s="38">
        <v>1239</v>
      </c>
      <c r="G836" s="38">
        <v>100</v>
      </c>
      <c r="H836" s="46">
        <v>600</v>
      </c>
      <c r="I836" s="38">
        <v>695</v>
      </c>
      <c r="J836" s="38">
        <v>50</v>
      </c>
      <c r="K836" s="39"/>
      <c r="L836" s="39"/>
      <c r="M836" s="39"/>
      <c r="N836" s="39"/>
      <c r="O836" s="39"/>
      <c r="P836" s="39"/>
      <c r="Q836" s="39"/>
      <c r="R836" s="39"/>
      <c r="S836" s="39"/>
      <c r="T836" s="39"/>
    </row>
    <row r="837" spans="1:20" ht="15.75">
      <c r="A837" s="13">
        <v>66627</v>
      </c>
      <c r="B837" s="47">
        <f t="shared" si="3"/>
        <v>31</v>
      </c>
      <c r="C837" s="38">
        <v>194.20500000000001</v>
      </c>
      <c r="D837" s="38">
        <v>267.46600000000001</v>
      </c>
      <c r="E837" s="44">
        <v>812.32899999999995</v>
      </c>
      <c r="F837" s="38">
        <v>1274</v>
      </c>
      <c r="G837" s="38">
        <v>75</v>
      </c>
      <c r="H837" s="46">
        <v>600</v>
      </c>
      <c r="I837" s="38">
        <v>695</v>
      </c>
      <c r="J837" s="38">
        <v>50</v>
      </c>
      <c r="K837" s="39"/>
      <c r="L837" s="39"/>
      <c r="M837" s="39"/>
      <c r="N837" s="39"/>
      <c r="O837" s="39"/>
      <c r="P837" s="39"/>
      <c r="Q837" s="39"/>
      <c r="R837" s="39"/>
      <c r="S837" s="39"/>
      <c r="T837" s="39"/>
    </row>
    <row r="838" spans="1:20" ht="15.75">
      <c r="A838" s="13">
        <v>66657</v>
      </c>
      <c r="B838" s="47">
        <f t="shared" si="3"/>
        <v>30</v>
      </c>
      <c r="C838" s="38">
        <v>194.20500000000001</v>
      </c>
      <c r="D838" s="38">
        <v>267.46600000000001</v>
      </c>
      <c r="E838" s="44">
        <v>812.32899999999995</v>
      </c>
      <c r="F838" s="38">
        <v>1274</v>
      </c>
      <c r="G838" s="38">
        <v>50</v>
      </c>
      <c r="H838" s="46">
        <v>600</v>
      </c>
      <c r="I838" s="38">
        <v>695</v>
      </c>
      <c r="J838" s="38">
        <v>50</v>
      </c>
      <c r="K838" s="39"/>
      <c r="L838" s="39"/>
      <c r="M838" s="39"/>
      <c r="N838" s="39"/>
      <c r="O838" s="39"/>
      <c r="P838" s="39"/>
      <c r="Q838" s="39"/>
      <c r="R838" s="39"/>
      <c r="S838" s="39"/>
      <c r="T838" s="39"/>
    </row>
    <row r="839" spans="1:20" ht="15.75">
      <c r="A839" s="13">
        <v>66688</v>
      </c>
      <c r="B839" s="47">
        <f t="shared" si="3"/>
        <v>31</v>
      </c>
      <c r="C839" s="38">
        <v>194.20500000000001</v>
      </c>
      <c r="D839" s="38">
        <v>267.46600000000001</v>
      </c>
      <c r="E839" s="44">
        <v>812.32899999999995</v>
      </c>
      <c r="F839" s="38">
        <v>1274</v>
      </c>
      <c r="G839" s="38">
        <v>50</v>
      </c>
      <c r="H839" s="46">
        <v>600</v>
      </c>
      <c r="I839" s="38">
        <v>695</v>
      </c>
      <c r="J839" s="38">
        <v>0</v>
      </c>
      <c r="K839" s="39"/>
      <c r="L839" s="39"/>
      <c r="M839" s="39"/>
      <c r="N839" s="39"/>
      <c r="O839" s="39"/>
      <c r="P839" s="39"/>
      <c r="Q839" s="39"/>
      <c r="R839" s="39"/>
      <c r="S839" s="39"/>
      <c r="T839" s="39"/>
    </row>
    <row r="840" spans="1:20" ht="15.75">
      <c r="A840" s="13">
        <v>66719</v>
      </c>
      <c r="B840" s="47">
        <f t="shared" si="3"/>
        <v>31</v>
      </c>
      <c r="C840" s="38">
        <v>194.20500000000001</v>
      </c>
      <c r="D840" s="38">
        <v>267.46600000000001</v>
      </c>
      <c r="E840" s="44">
        <v>812.32899999999995</v>
      </c>
      <c r="F840" s="38">
        <v>1274</v>
      </c>
      <c r="G840" s="38">
        <v>50</v>
      </c>
      <c r="H840" s="46">
        <v>600</v>
      </c>
      <c r="I840" s="38">
        <v>695</v>
      </c>
      <c r="J840" s="38">
        <v>0</v>
      </c>
      <c r="K840" s="39"/>
      <c r="L840" s="39"/>
      <c r="M840" s="39"/>
      <c r="N840" s="39"/>
      <c r="O840" s="39"/>
      <c r="P840" s="39"/>
      <c r="Q840" s="39"/>
      <c r="R840" s="39"/>
      <c r="S840" s="39"/>
      <c r="T840" s="39"/>
    </row>
    <row r="841" spans="1:20" ht="15.75">
      <c r="A841" s="13">
        <v>66749</v>
      </c>
      <c r="B841" s="47">
        <f t="shared" si="3"/>
        <v>30</v>
      </c>
      <c r="C841" s="38">
        <v>194.20500000000001</v>
      </c>
      <c r="D841" s="38">
        <v>267.46600000000001</v>
      </c>
      <c r="E841" s="44">
        <v>812.32899999999995</v>
      </c>
      <c r="F841" s="38">
        <v>1274</v>
      </c>
      <c r="G841" s="38">
        <v>50</v>
      </c>
      <c r="H841" s="46">
        <v>600</v>
      </c>
      <c r="I841" s="38">
        <v>695</v>
      </c>
      <c r="J841" s="38">
        <v>0</v>
      </c>
      <c r="K841" s="39"/>
      <c r="L841" s="39"/>
      <c r="M841" s="39"/>
      <c r="N841" s="39"/>
      <c r="O841" s="39"/>
      <c r="P841" s="39"/>
      <c r="Q841" s="39"/>
      <c r="R841" s="39"/>
      <c r="S841" s="39"/>
      <c r="T841" s="39"/>
    </row>
    <row r="842" spans="1:20" ht="15.75">
      <c r="A842" s="13">
        <v>66780</v>
      </c>
      <c r="B842" s="47">
        <f t="shared" si="3"/>
        <v>31</v>
      </c>
      <c r="C842" s="38">
        <v>131.881</v>
      </c>
      <c r="D842" s="38">
        <v>277.16699999999997</v>
      </c>
      <c r="E842" s="44">
        <v>829.952</v>
      </c>
      <c r="F842" s="38">
        <v>1239</v>
      </c>
      <c r="G842" s="38">
        <v>75</v>
      </c>
      <c r="H842" s="46">
        <v>600</v>
      </c>
      <c r="I842" s="38">
        <v>695</v>
      </c>
      <c r="J842" s="38">
        <v>0</v>
      </c>
      <c r="K842" s="39"/>
      <c r="L842" s="39"/>
      <c r="M842" s="39"/>
      <c r="N842" s="39"/>
      <c r="O842" s="39"/>
      <c r="P842" s="39"/>
      <c r="Q842" s="39"/>
      <c r="R842" s="39"/>
      <c r="S842" s="39"/>
      <c r="T842" s="39"/>
    </row>
    <row r="843" spans="1:20" ht="15.75">
      <c r="A843" s="13">
        <v>66810</v>
      </c>
      <c r="B843" s="47">
        <f t="shared" si="3"/>
        <v>30</v>
      </c>
      <c r="C843" s="38">
        <v>122.58</v>
      </c>
      <c r="D843" s="38">
        <v>297.94099999999997</v>
      </c>
      <c r="E843" s="44">
        <v>729.47900000000004</v>
      </c>
      <c r="F843" s="38">
        <v>1150</v>
      </c>
      <c r="G843" s="38">
        <v>100</v>
      </c>
      <c r="H843" s="46">
        <v>600</v>
      </c>
      <c r="I843" s="38">
        <v>695</v>
      </c>
      <c r="J843" s="38">
        <v>50</v>
      </c>
      <c r="K843" s="39"/>
      <c r="L843" s="39"/>
      <c r="M843" s="39"/>
      <c r="N843" s="39"/>
      <c r="O843" s="39"/>
      <c r="P843" s="39"/>
      <c r="Q843" s="39"/>
      <c r="R843" s="39"/>
      <c r="S843" s="39"/>
      <c r="T843" s="39"/>
    </row>
    <row r="844" spans="1:20" ht="15.75">
      <c r="A844" s="13">
        <v>66841</v>
      </c>
      <c r="B844" s="47">
        <f t="shared" si="3"/>
        <v>31</v>
      </c>
      <c r="C844" s="38">
        <v>122.58</v>
      </c>
      <c r="D844" s="38">
        <v>297.94099999999997</v>
      </c>
      <c r="E844" s="44">
        <v>729.47900000000004</v>
      </c>
      <c r="F844" s="38">
        <v>1150</v>
      </c>
      <c r="G844" s="38">
        <v>100</v>
      </c>
      <c r="H844" s="46">
        <v>600</v>
      </c>
      <c r="I844" s="38">
        <v>695</v>
      </c>
      <c r="J844" s="38">
        <v>50</v>
      </c>
      <c r="K844" s="39"/>
      <c r="L844" s="39"/>
      <c r="M844" s="39"/>
      <c r="N844" s="39"/>
      <c r="O844" s="39"/>
      <c r="P844" s="39"/>
      <c r="Q844" s="39"/>
      <c r="R844" s="39"/>
      <c r="S844" s="39"/>
      <c r="T844" s="39"/>
    </row>
    <row r="845" spans="1:20" ht="15.75">
      <c r="A845" s="13">
        <v>66872</v>
      </c>
      <c r="B845" s="47">
        <f t="shared" si="3"/>
        <v>31</v>
      </c>
      <c r="C845" s="38">
        <v>122.58</v>
      </c>
      <c r="D845" s="38">
        <v>297.94099999999997</v>
      </c>
      <c r="E845" s="44">
        <v>729.47900000000004</v>
      </c>
      <c r="F845" s="38">
        <v>1150</v>
      </c>
      <c r="G845" s="38">
        <v>100</v>
      </c>
      <c r="H845" s="46">
        <v>600</v>
      </c>
      <c r="I845" s="38">
        <v>695</v>
      </c>
      <c r="J845" s="38">
        <v>50</v>
      </c>
      <c r="K845" s="39"/>
      <c r="L845" s="39"/>
      <c r="M845" s="39"/>
      <c r="N845" s="39"/>
      <c r="O845" s="39"/>
      <c r="P845" s="39"/>
      <c r="Q845" s="39"/>
      <c r="R845" s="39"/>
      <c r="S845" s="39"/>
      <c r="T845" s="39"/>
    </row>
    <row r="846" spans="1:20" ht="15.75">
      <c r="A846" s="13">
        <v>66900</v>
      </c>
      <c r="B846" s="47">
        <f t="shared" si="3"/>
        <v>28</v>
      </c>
      <c r="C846" s="38">
        <v>122.58</v>
      </c>
      <c r="D846" s="38">
        <v>297.94099999999997</v>
      </c>
      <c r="E846" s="44">
        <v>729.47900000000004</v>
      </c>
      <c r="F846" s="38">
        <v>1150</v>
      </c>
      <c r="G846" s="38">
        <v>100</v>
      </c>
      <c r="H846" s="46">
        <v>600</v>
      </c>
      <c r="I846" s="38">
        <v>695</v>
      </c>
      <c r="J846" s="38">
        <v>50</v>
      </c>
      <c r="K846" s="39"/>
      <c r="L846" s="39"/>
      <c r="M846" s="39"/>
      <c r="N846" s="39"/>
      <c r="O846" s="39"/>
      <c r="P846" s="39"/>
      <c r="Q846" s="39"/>
      <c r="R846" s="39"/>
      <c r="S846" s="39"/>
      <c r="T846" s="39"/>
    </row>
    <row r="847" spans="1:20" ht="15.75">
      <c r="A847" s="13">
        <v>66931</v>
      </c>
      <c r="B847" s="47">
        <f t="shared" si="3"/>
        <v>31</v>
      </c>
      <c r="C847" s="38">
        <v>122.58</v>
      </c>
      <c r="D847" s="38">
        <v>297.94099999999997</v>
      </c>
      <c r="E847" s="44">
        <v>729.47900000000004</v>
      </c>
      <c r="F847" s="38">
        <v>1150</v>
      </c>
      <c r="G847" s="38">
        <v>100</v>
      </c>
      <c r="H847" s="46">
        <v>600</v>
      </c>
      <c r="I847" s="38">
        <v>695</v>
      </c>
      <c r="J847" s="38">
        <v>50</v>
      </c>
      <c r="K847" s="39"/>
      <c r="L847" s="39"/>
      <c r="M847" s="39"/>
      <c r="N847" s="39"/>
      <c r="O847" s="39"/>
      <c r="P847" s="39"/>
      <c r="Q847" s="39"/>
      <c r="R847" s="39"/>
      <c r="S847" s="39"/>
      <c r="T847" s="39"/>
    </row>
    <row r="848" spans="1:20" ht="15.75">
      <c r="A848" s="13">
        <v>66961</v>
      </c>
      <c r="B848" s="47">
        <f t="shared" si="3"/>
        <v>30</v>
      </c>
      <c r="C848" s="38">
        <v>141.29300000000001</v>
      </c>
      <c r="D848" s="38">
        <v>267.99299999999999</v>
      </c>
      <c r="E848" s="44">
        <v>829.71400000000006</v>
      </c>
      <c r="F848" s="38">
        <v>1239</v>
      </c>
      <c r="G848" s="38">
        <v>100</v>
      </c>
      <c r="H848" s="46">
        <v>600</v>
      </c>
      <c r="I848" s="38">
        <v>695</v>
      </c>
      <c r="J848" s="38">
        <v>50</v>
      </c>
      <c r="K848" s="39"/>
      <c r="L848" s="39"/>
      <c r="M848" s="39"/>
      <c r="N848" s="39"/>
      <c r="O848" s="39"/>
      <c r="P848" s="39"/>
      <c r="Q848" s="39"/>
      <c r="R848" s="39"/>
      <c r="S848" s="39"/>
      <c r="T848" s="39"/>
    </row>
    <row r="849" spans="1:20" ht="15.75">
      <c r="A849" s="13">
        <v>66992</v>
      </c>
      <c r="B849" s="47">
        <f t="shared" ref="B849:B912" si="4">EOMONTH(A849,0)-EOMONTH(A849,-1)</f>
        <v>31</v>
      </c>
      <c r="C849" s="38">
        <v>194.20500000000001</v>
      </c>
      <c r="D849" s="38">
        <v>267.46600000000001</v>
      </c>
      <c r="E849" s="44">
        <v>812.32899999999995</v>
      </c>
      <c r="F849" s="38">
        <v>1274</v>
      </c>
      <c r="G849" s="38">
        <v>75</v>
      </c>
      <c r="H849" s="46">
        <v>600</v>
      </c>
      <c r="I849" s="38">
        <v>695</v>
      </c>
      <c r="J849" s="38">
        <v>50</v>
      </c>
      <c r="K849" s="39"/>
      <c r="L849" s="39"/>
      <c r="M849" s="39"/>
      <c r="N849" s="39"/>
      <c r="O849" s="39"/>
      <c r="P849" s="39"/>
      <c r="Q849" s="39"/>
      <c r="R849" s="39"/>
      <c r="S849" s="39"/>
      <c r="T849" s="39"/>
    </row>
    <row r="850" spans="1:20" ht="15.75">
      <c r="A850" s="13">
        <v>67022</v>
      </c>
      <c r="B850" s="47">
        <f t="shared" si="4"/>
        <v>30</v>
      </c>
      <c r="C850" s="38">
        <v>194.20500000000001</v>
      </c>
      <c r="D850" s="38">
        <v>267.46600000000001</v>
      </c>
      <c r="E850" s="44">
        <v>812.32899999999995</v>
      </c>
      <c r="F850" s="38">
        <v>1274</v>
      </c>
      <c r="G850" s="38">
        <v>50</v>
      </c>
      <c r="H850" s="46">
        <v>600</v>
      </c>
      <c r="I850" s="38">
        <v>695</v>
      </c>
      <c r="J850" s="38">
        <v>50</v>
      </c>
      <c r="K850" s="39"/>
      <c r="L850" s="39"/>
      <c r="M850" s="39"/>
      <c r="N850" s="39"/>
      <c r="O850" s="39"/>
      <c r="P850" s="39"/>
      <c r="Q850" s="39"/>
      <c r="R850" s="39"/>
      <c r="S850" s="39"/>
      <c r="T850" s="39"/>
    </row>
    <row r="851" spans="1:20" ht="15.75">
      <c r="A851" s="13">
        <v>67053</v>
      </c>
      <c r="B851" s="47">
        <f t="shared" si="4"/>
        <v>31</v>
      </c>
      <c r="C851" s="38">
        <v>194.20500000000001</v>
      </c>
      <c r="D851" s="38">
        <v>267.46600000000001</v>
      </c>
      <c r="E851" s="44">
        <v>812.32899999999995</v>
      </c>
      <c r="F851" s="38">
        <v>1274</v>
      </c>
      <c r="G851" s="38">
        <v>50</v>
      </c>
      <c r="H851" s="46">
        <v>600</v>
      </c>
      <c r="I851" s="38">
        <v>695</v>
      </c>
      <c r="J851" s="38">
        <v>0</v>
      </c>
      <c r="K851" s="39"/>
      <c r="L851" s="39"/>
      <c r="M851" s="39"/>
      <c r="N851" s="39"/>
      <c r="O851" s="39"/>
      <c r="P851" s="39"/>
      <c r="Q851" s="39"/>
      <c r="R851" s="39"/>
      <c r="S851" s="39"/>
      <c r="T851" s="39"/>
    </row>
    <row r="852" spans="1:20" ht="15.75">
      <c r="A852" s="13">
        <v>67084</v>
      </c>
      <c r="B852" s="47">
        <f t="shared" si="4"/>
        <v>31</v>
      </c>
      <c r="C852" s="38">
        <v>194.20500000000001</v>
      </c>
      <c r="D852" s="38">
        <v>267.46600000000001</v>
      </c>
      <c r="E852" s="44">
        <v>812.32899999999995</v>
      </c>
      <c r="F852" s="38">
        <v>1274</v>
      </c>
      <c r="G852" s="38">
        <v>50</v>
      </c>
      <c r="H852" s="46">
        <v>600</v>
      </c>
      <c r="I852" s="38">
        <v>695</v>
      </c>
      <c r="J852" s="38">
        <v>0</v>
      </c>
      <c r="K852" s="39"/>
      <c r="L852" s="39"/>
      <c r="M852" s="39"/>
      <c r="N852" s="39"/>
      <c r="O852" s="39"/>
      <c r="P852" s="39"/>
      <c r="Q852" s="39"/>
      <c r="R852" s="39"/>
      <c r="S852" s="39"/>
      <c r="T852" s="39"/>
    </row>
    <row r="853" spans="1:20" ht="15.75">
      <c r="A853" s="13">
        <v>67114</v>
      </c>
      <c r="B853" s="47">
        <f t="shared" si="4"/>
        <v>30</v>
      </c>
      <c r="C853" s="38">
        <v>194.20500000000001</v>
      </c>
      <c r="D853" s="38">
        <v>267.46600000000001</v>
      </c>
      <c r="E853" s="44">
        <v>812.32899999999995</v>
      </c>
      <c r="F853" s="38">
        <v>1274</v>
      </c>
      <c r="G853" s="38">
        <v>50</v>
      </c>
      <c r="H853" s="46">
        <v>600</v>
      </c>
      <c r="I853" s="38">
        <v>695</v>
      </c>
      <c r="J853" s="38">
        <v>0</v>
      </c>
      <c r="K853" s="39"/>
      <c r="L853" s="39"/>
      <c r="M853" s="39"/>
      <c r="N853" s="39"/>
      <c r="O853" s="39"/>
      <c r="P853" s="39"/>
      <c r="Q853" s="39"/>
      <c r="R853" s="39"/>
      <c r="S853" s="39"/>
      <c r="T853" s="39"/>
    </row>
    <row r="854" spans="1:20" ht="15.75">
      <c r="A854" s="13">
        <v>67145</v>
      </c>
      <c r="B854" s="47">
        <f t="shared" si="4"/>
        <v>31</v>
      </c>
      <c r="C854" s="38">
        <v>131.881</v>
      </c>
      <c r="D854" s="38">
        <v>277.16699999999997</v>
      </c>
      <c r="E854" s="44">
        <v>829.952</v>
      </c>
      <c r="F854" s="38">
        <v>1239</v>
      </c>
      <c r="G854" s="38">
        <v>75</v>
      </c>
      <c r="H854" s="46">
        <v>600</v>
      </c>
      <c r="I854" s="38">
        <v>695</v>
      </c>
      <c r="J854" s="38">
        <v>0</v>
      </c>
      <c r="K854" s="39"/>
      <c r="L854" s="39"/>
      <c r="M854" s="39"/>
      <c r="N854" s="39"/>
      <c r="O854" s="39"/>
      <c r="P854" s="39"/>
      <c r="Q854" s="39"/>
      <c r="R854" s="39"/>
      <c r="S854" s="39"/>
      <c r="T854" s="39"/>
    </row>
    <row r="855" spans="1:20" ht="15.75">
      <c r="A855" s="13">
        <v>67175</v>
      </c>
      <c r="B855" s="47">
        <f t="shared" si="4"/>
        <v>30</v>
      </c>
      <c r="C855" s="38">
        <v>122.58</v>
      </c>
      <c r="D855" s="38">
        <v>297.94099999999997</v>
      </c>
      <c r="E855" s="44">
        <v>729.47900000000004</v>
      </c>
      <c r="F855" s="38">
        <v>1150</v>
      </c>
      <c r="G855" s="38">
        <v>100</v>
      </c>
      <c r="H855" s="46">
        <v>600</v>
      </c>
      <c r="I855" s="38">
        <v>695</v>
      </c>
      <c r="J855" s="38">
        <v>50</v>
      </c>
      <c r="K855" s="39"/>
      <c r="L855" s="39"/>
      <c r="M855" s="39"/>
      <c r="N855" s="39"/>
      <c r="O855" s="39"/>
      <c r="P855" s="39"/>
      <c r="Q855" s="39"/>
      <c r="R855" s="39"/>
      <c r="S855" s="39"/>
      <c r="T855" s="39"/>
    </row>
    <row r="856" spans="1:20" ht="15.75">
      <c r="A856" s="13">
        <v>67206</v>
      </c>
      <c r="B856" s="47">
        <f t="shared" si="4"/>
        <v>31</v>
      </c>
      <c r="C856" s="38">
        <v>122.58</v>
      </c>
      <c r="D856" s="38">
        <v>297.94099999999997</v>
      </c>
      <c r="E856" s="44">
        <v>729.47900000000004</v>
      </c>
      <c r="F856" s="38">
        <v>1150</v>
      </c>
      <c r="G856" s="38">
        <v>100</v>
      </c>
      <c r="H856" s="46">
        <v>600</v>
      </c>
      <c r="I856" s="38">
        <v>695</v>
      </c>
      <c r="J856" s="38">
        <v>50</v>
      </c>
      <c r="K856" s="39"/>
      <c r="L856" s="39"/>
      <c r="M856" s="39"/>
      <c r="N856" s="39"/>
      <c r="O856" s="39"/>
      <c r="P856" s="39"/>
      <c r="Q856" s="39"/>
      <c r="R856" s="39"/>
      <c r="S856" s="39"/>
      <c r="T856" s="39"/>
    </row>
    <row r="857" spans="1:20" ht="15.75">
      <c r="A857" s="13">
        <v>67237</v>
      </c>
      <c r="B857" s="47">
        <f t="shared" si="4"/>
        <v>31</v>
      </c>
      <c r="C857" s="38">
        <v>122.58</v>
      </c>
      <c r="D857" s="38">
        <v>297.94099999999997</v>
      </c>
      <c r="E857" s="44">
        <v>729.47900000000004</v>
      </c>
      <c r="F857" s="38">
        <v>1150</v>
      </c>
      <c r="G857" s="38">
        <v>100</v>
      </c>
      <c r="H857" s="46">
        <v>600</v>
      </c>
      <c r="I857" s="38">
        <v>695</v>
      </c>
      <c r="J857" s="38">
        <v>50</v>
      </c>
      <c r="K857" s="39"/>
      <c r="L857" s="39"/>
      <c r="M857" s="39"/>
      <c r="N857" s="39"/>
      <c r="O857" s="39"/>
      <c r="P857" s="39"/>
      <c r="Q857" s="39"/>
      <c r="R857" s="39"/>
      <c r="S857" s="39"/>
      <c r="T857" s="39"/>
    </row>
    <row r="858" spans="1:20" ht="15.75">
      <c r="A858" s="13">
        <v>67266</v>
      </c>
      <c r="B858" s="47">
        <f t="shared" si="4"/>
        <v>29</v>
      </c>
      <c r="C858" s="38">
        <v>122.58</v>
      </c>
      <c r="D858" s="38">
        <v>297.94099999999997</v>
      </c>
      <c r="E858" s="44">
        <v>729.47900000000004</v>
      </c>
      <c r="F858" s="38">
        <v>1150</v>
      </c>
      <c r="G858" s="38">
        <v>100</v>
      </c>
      <c r="H858" s="46">
        <v>600</v>
      </c>
      <c r="I858" s="38">
        <v>695</v>
      </c>
      <c r="J858" s="38">
        <v>50</v>
      </c>
      <c r="K858" s="39"/>
      <c r="L858" s="39"/>
      <c r="M858" s="39"/>
      <c r="N858" s="39"/>
      <c r="O858" s="39"/>
      <c r="P858" s="39"/>
      <c r="Q858" s="39"/>
      <c r="R858" s="39"/>
      <c r="S858" s="39"/>
      <c r="T858" s="39"/>
    </row>
    <row r="859" spans="1:20" ht="15.75">
      <c r="A859" s="13">
        <v>67297</v>
      </c>
      <c r="B859" s="47">
        <f t="shared" si="4"/>
        <v>31</v>
      </c>
      <c r="C859" s="38">
        <v>122.58</v>
      </c>
      <c r="D859" s="38">
        <v>297.94099999999997</v>
      </c>
      <c r="E859" s="44">
        <v>729.47900000000004</v>
      </c>
      <c r="F859" s="38">
        <v>1150</v>
      </c>
      <c r="G859" s="38">
        <v>100</v>
      </c>
      <c r="H859" s="46">
        <v>600</v>
      </c>
      <c r="I859" s="38">
        <v>695</v>
      </c>
      <c r="J859" s="38">
        <v>50</v>
      </c>
      <c r="K859" s="39"/>
      <c r="L859" s="39"/>
      <c r="M859" s="39"/>
      <c r="N859" s="39"/>
      <c r="O859" s="39"/>
      <c r="P859" s="39"/>
      <c r="Q859" s="39"/>
      <c r="R859" s="39"/>
      <c r="S859" s="39"/>
      <c r="T859" s="39"/>
    </row>
    <row r="860" spans="1:20" ht="15.75">
      <c r="A860" s="13">
        <v>67327</v>
      </c>
      <c r="B860" s="47">
        <f t="shared" si="4"/>
        <v>30</v>
      </c>
      <c r="C860" s="38">
        <v>141.29300000000001</v>
      </c>
      <c r="D860" s="38">
        <v>267.99299999999999</v>
      </c>
      <c r="E860" s="44">
        <v>829.71400000000006</v>
      </c>
      <c r="F860" s="38">
        <v>1239</v>
      </c>
      <c r="G860" s="38">
        <v>100</v>
      </c>
      <c r="H860" s="46">
        <v>600</v>
      </c>
      <c r="I860" s="38">
        <v>695</v>
      </c>
      <c r="J860" s="38">
        <v>50</v>
      </c>
      <c r="K860" s="39"/>
      <c r="L860" s="39"/>
      <c r="M860" s="39"/>
      <c r="N860" s="39"/>
      <c r="O860" s="39"/>
      <c r="P860" s="39"/>
      <c r="Q860" s="39"/>
      <c r="R860" s="39"/>
      <c r="S860" s="39"/>
      <c r="T860" s="39"/>
    </row>
    <row r="861" spans="1:20" ht="15.75">
      <c r="A861" s="13">
        <v>67358</v>
      </c>
      <c r="B861" s="47">
        <f t="shared" si="4"/>
        <v>31</v>
      </c>
      <c r="C861" s="38">
        <v>194.20500000000001</v>
      </c>
      <c r="D861" s="38">
        <v>267.46600000000001</v>
      </c>
      <c r="E861" s="44">
        <v>812.32899999999995</v>
      </c>
      <c r="F861" s="38">
        <v>1274</v>
      </c>
      <c r="G861" s="38">
        <v>75</v>
      </c>
      <c r="H861" s="46">
        <v>600</v>
      </c>
      <c r="I861" s="38">
        <v>695</v>
      </c>
      <c r="J861" s="38">
        <v>50</v>
      </c>
      <c r="K861" s="39"/>
      <c r="L861" s="39"/>
      <c r="M861" s="39"/>
      <c r="N861" s="39"/>
      <c r="O861" s="39"/>
      <c r="P861" s="39"/>
      <c r="Q861" s="39"/>
      <c r="R861" s="39"/>
      <c r="S861" s="39"/>
      <c r="T861" s="39"/>
    </row>
    <row r="862" spans="1:20" ht="15.75">
      <c r="A862" s="13">
        <v>67388</v>
      </c>
      <c r="B862" s="47">
        <f t="shared" si="4"/>
        <v>30</v>
      </c>
      <c r="C862" s="38">
        <v>194.20500000000001</v>
      </c>
      <c r="D862" s="38">
        <v>267.46600000000001</v>
      </c>
      <c r="E862" s="44">
        <v>812.32899999999995</v>
      </c>
      <c r="F862" s="38">
        <v>1274</v>
      </c>
      <c r="G862" s="38">
        <v>50</v>
      </c>
      <c r="H862" s="46">
        <v>600</v>
      </c>
      <c r="I862" s="38">
        <v>695</v>
      </c>
      <c r="J862" s="38">
        <v>50</v>
      </c>
      <c r="K862" s="39"/>
      <c r="L862" s="39"/>
      <c r="M862" s="39"/>
      <c r="N862" s="39"/>
      <c r="O862" s="39"/>
      <c r="P862" s="39"/>
      <c r="Q862" s="39"/>
      <c r="R862" s="39"/>
      <c r="S862" s="39"/>
      <c r="T862" s="39"/>
    </row>
    <row r="863" spans="1:20" ht="15.75">
      <c r="A863" s="13">
        <v>67419</v>
      </c>
      <c r="B863" s="47">
        <f t="shared" si="4"/>
        <v>31</v>
      </c>
      <c r="C863" s="38">
        <v>194.20500000000001</v>
      </c>
      <c r="D863" s="38">
        <v>267.46600000000001</v>
      </c>
      <c r="E863" s="44">
        <v>812.32899999999995</v>
      </c>
      <c r="F863" s="38">
        <v>1274</v>
      </c>
      <c r="G863" s="38">
        <v>50</v>
      </c>
      <c r="H863" s="46">
        <v>600</v>
      </c>
      <c r="I863" s="38">
        <v>695</v>
      </c>
      <c r="J863" s="38">
        <v>0</v>
      </c>
      <c r="K863" s="39"/>
      <c r="L863" s="39"/>
      <c r="M863" s="39"/>
      <c r="N863" s="39"/>
      <c r="O863" s="39"/>
      <c r="P863" s="39"/>
      <c r="Q863" s="39"/>
      <c r="R863" s="39"/>
      <c r="S863" s="39"/>
      <c r="T863" s="39"/>
    </row>
    <row r="864" spans="1:20" ht="15.75">
      <c r="A864" s="13">
        <v>67450</v>
      </c>
      <c r="B864" s="47">
        <f t="shared" si="4"/>
        <v>31</v>
      </c>
      <c r="C864" s="38">
        <v>194.20500000000001</v>
      </c>
      <c r="D864" s="38">
        <v>267.46600000000001</v>
      </c>
      <c r="E864" s="44">
        <v>812.32899999999995</v>
      </c>
      <c r="F864" s="38">
        <v>1274</v>
      </c>
      <c r="G864" s="38">
        <v>50</v>
      </c>
      <c r="H864" s="46">
        <v>600</v>
      </c>
      <c r="I864" s="38">
        <v>695</v>
      </c>
      <c r="J864" s="38">
        <v>0</v>
      </c>
      <c r="K864" s="39"/>
      <c r="L864" s="39"/>
      <c r="M864" s="39"/>
      <c r="N864" s="39"/>
      <c r="O864" s="39"/>
      <c r="P864" s="39"/>
      <c r="Q864" s="39"/>
      <c r="R864" s="39"/>
      <c r="S864" s="39"/>
      <c r="T864" s="39"/>
    </row>
    <row r="865" spans="1:20" ht="15.75">
      <c r="A865" s="13">
        <v>67480</v>
      </c>
      <c r="B865" s="47">
        <f t="shared" si="4"/>
        <v>30</v>
      </c>
      <c r="C865" s="38">
        <v>194.20500000000001</v>
      </c>
      <c r="D865" s="38">
        <v>267.46600000000001</v>
      </c>
      <c r="E865" s="44">
        <v>812.32899999999995</v>
      </c>
      <c r="F865" s="38">
        <v>1274</v>
      </c>
      <c r="G865" s="38">
        <v>50</v>
      </c>
      <c r="H865" s="46">
        <v>600</v>
      </c>
      <c r="I865" s="38">
        <v>695</v>
      </c>
      <c r="J865" s="38">
        <v>0</v>
      </c>
      <c r="K865" s="39"/>
      <c r="L865" s="39"/>
      <c r="M865" s="39"/>
      <c r="N865" s="39"/>
      <c r="O865" s="39"/>
      <c r="P865" s="39"/>
      <c r="Q865" s="39"/>
      <c r="R865" s="39"/>
      <c r="S865" s="39"/>
      <c r="T865" s="39"/>
    </row>
    <row r="866" spans="1:20" ht="15.75">
      <c r="A866" s="13">
        <v>67511</v>
      </c>
      <c r="B866" s="47">
        <f t="shared" si="4"/>
        <v>31</v>
      </c>
      <c r="C866" s="38">
        <v>131.881</v>
      </c>
      <c r="D866" s="38">
        <v>277.16699999999997</v>
      </c>
      <c r="E866" s="44">
        <v>829.952</v>
      </c>
      <c r="F866" s="38">
        <v>1239</v>
      </c>
      <c r="G866" s="38">
        <v>75</v>
      </c>
      <c r="H866" s="46">
        <v>600</v>
      </c>
      <c r="I866" s="38">
        <v>695</v>
      </c>
      <c r="J866" s="38">
        <v>0</v>
      </c>
      <c r="K866" s="39"/>
      <c r="L866" s="39"/>
      <c r="M866" s="39"/>
      <c r="N866" s="39"/>
      <c r="O866" s="39"/>
      <c r="P866" s="39"/>
      <c r="Q866" s="39"/>
      <c r="R866" s="39"/>
      <c r="S866" s="39"/>
      <c r="T866" s="39"/>
    </row>
    <row r="867" spans="1:20" ht="15.75">
      <c r="A867" s="13">
        <v>67541</v>
      </c>
      <c r="B867" s="47">
        <f t="shared" si="4"/>
        <v>30</v>
      </c>
      <c r="C867" s="38">
        <v>122.58</v>
      </c>
      <c r="D867" s="38">
        <v>297.94099999999997</v>
      </c>
      <c r="E867" s="44">
        <v>729.47900000000004</v>
      </c>
      <c r="F867" s="38">
        <v>1150</v>
      </c>
      <c r="G867" s="38">
        <v>100</v>
      </c>
      <c r="H867" s="46">
        <v>600</v>
      </c>
      <c r="I867" s="38">
        <v>695</v>
      </c>
      <c r="J867" s="38">
        <v>50</v>
      </c>
      <c r="K867" s="39"/>
      <c r="L867" s="39"/>
      <c r="M867" s="39"/>
      <c r="N867" s="39"/>
      <c r="O867" s="39"/>
      <c r="P867" s="39"/>
      <c r="Q867" s="39"/>
      <c r="R867" s="39"/>
      <c r="S867" s="39"/>
      <c r="T867" s="39"/>
    </row>
    <row r="868" spans="1:20" ht="15.75">
      <c r="A868" s="13">
        <v>67572</v>
      </c>
      <c r="B868" s="47">
        <f t="shared" si="4"/>
        <v>31</v>
      </c>
      <c r="C868" s="38">
        <v>122.58</v>
      </c>
      <c r="D868" s="38">
        <v>297.94099999999997</v>
      </c>
      <c r="E868" s="44">
        <v>729.47900000000004</v>
      </c>
      <c r="F868" s="38">
        <v>1150</v>
      </c>
      <c r="G868" s="38">
        <v>100</v>
      </c>
      <c r="H868" s="46">
        <v>600</v>
      </c>
      <c r="I868" s="38">
        <v>695</v>
      </c>
      <c r="J868" s="38">
        <v>50</v>
      </c>
      <c r="K868" s="39"/>
      <c r="L868" s="39"/>
      <c r="M868" s="39"/>
      <c r="N868" s="39"/>
      <c r="O868" s="39"/>
      <c r="P868" s="39"/>
      <c r="Q868" s="39"/>
      <c r="R868" s="39"/>
      <c r="S868" s="39"/>
      <c r="T868" s="39"/>
    </row>
    <row r="869" spans="1:20" ht="15.75">
      <c r="A869" s="13">
        <v>67603</v>
      </c>
      <c r="B869" s="47">
        <f t="shared" si="4"/>
        <v>31</v>
      </c>
      <c r="C869" s="38">
        <v>122.58</v>
      </c>
      <c r="D869" s="38">
        <v>297.94099999999997</v>
      </c>
      <c r="E869" s="44">
        <v>729.47900000000004</v>
      </c>
      <c r="F869" s="38">
        <v>1150</v>
      </c>
      <c r="G869" s="38">
        <v>100</v>
      </c>
      <c r="H869" s="46">
        <v>600</v>
      </c>
      <c r="I869" s="38">
        <v>695</v>
      </c>
      <c r="J869" s="38">
        <v>50</v>
      </c>
      <c r="K869" s="39"/>
      <c r="L869" s="39"/>
      <c r="M869" s="39"/>
      <c r="N869" s="39"/>
      <c r="O869" s="39"/>
      <c r="P869" s="39"/>
      <c r="Q869" s="39"/>
      <c r="R869" s="39"/>
      <c r="S869" s="39"/>
      <c r="T869" s="39"/>
    </row>
    <row r="870" spans="1:20" ht="15.75">
      <c r="A870" s="13">
        <v>67631</v>
      </c>
      <c r="B870" s="47">
        <f t="shared" si="4"/>
        <v>28</v>
      </c>
      <c r="C870" s="38">
        <v>122.58</v>
      </c>
      <c r="D870" s="38">
        <v>297.94099999999997</v>
      </c>
      <c r="E870" s="44">
        <v>729.47900000000004</v>
      </c>
      <c r="F870" s="38">
        <v>1150</v>
      </c>
      <c r="G870" s="38">
        <v>100</v>
      </c>
      <c r="H870" s="46">
        <v>600</v>
      </c>
      <c r="I870" s="38">
        <v>695</v>
      </c>
      <c r="J870" s="38">
        <v>50</v>
      </c>
      <c r="K870" s="39"/>
      <c r="L870" s="39"/>
      <c r="M870" s="39"/>
      <c r="N870" s="39"/>
      <c r="O870" s="39"/>
      <c r="P870" s="39"/>
      <c r="Q870" s="39"/>
      <c r="R870" s="39"/>
      <c r="S870" s="39"/>
      <c r="T870" s="39"/>
    </row>
    <row r="871" spans="1:20" ht="15.75">
      <c r="A871" s="13">
        <v>67662</v>
      </c>
      <c r="B871" s="47">
        <f t="shared" si="4"/>
        <v>31</v>
      </c>
      <c r="C871" s="38">
        <v>122.58</v>
      </c>
      <c r="D871" s="38">
        <v>297.94099999999997</v>
      </c>
      <c r="E871" s="44">
        <v>729.47900000000004</v>
      </c>
      <c r="F871" s="38">
        <v>1150</v>
      </c>
      <c r="G871" s="38">
        <v>100</v>
      </c>
      <c r="H871" s="46">
        <v>600</v>
      </c>
      <c r="I871" s="38">
        <v>695</v>
      </c>
      <c r="J871" s="38">
        <v>50</v>
      </c>
      <c r="K871" s="39"/>
      <c r="L871" s="39"/>
      <c r="M871" s="39"/>
      <c r="N871" s="39"/>
      <c r="O871" s="39"/>
      <c r="P871" s="39"/>
      <c r="Q871" s="39"/>
      <c r="R871" s="39"/>
      <c r="S871" s="39"/>
      <c r="T871" s="39"/>
    </row>
    <row r="872" spans="1:20" ht="15.75">
      <c r="A872" s="13">
        <v>67692</v>
      </c>
      <c r="B872" s="47">
        <f t="shared" si="4"/>
        <v>30</v>
      </c>
      <c r="C872" s="38">
        <v>141.29300000000001</v>
      </c>
      <c r="D872" s="38">
        <v>267.99299999999999</v>
      </c>
      <c r="E872" s="44">
        <v>829.71400000000006</v>
      </c>
      <c r="F872" s="38">
        <v>1239</v>
      </c>
      <c r="G872" s="38">
        <v>100</v>
      </c>
      <c r="H872" s="46">
        <v>600</v>
      </c>
      <c r="I872" s="38">
        <v>695</v>
      </c>
      <c r="J872" s="38">
        <v>50</v>
      </c>
      <c r="K872" s="39"/>
      <c r="L872" s="39"/>
      <c r="M872" s="39"/>
      <c r="N872" s="39"/>
      <c r="O872" s="39"/>
      <c r="P872" s="39"/>
      <c r="Q872" s="39"/>
      <c r="R872" s="39"/>
      <c r="S872" s="39"/>
      <c r="T872" s="39"/>
    </row>
    <row r="873" spans="1:20" ht="15.75">
      <c r="A873" s="13">
        <v>67723</v>
      </c>
      <c r="B873" s="47">
        <f t="shared" si="4"/>
        <v>31</v>
      </c>
      <c r="C873" s="38">
        <v>194.20500000000001</v>
      </c>
      <c r="D873" s="38">
        <v>267.46600000000001</v>
      </c>
      <c r="E873" s="44">
        <v>812.32899999999995</v>
      </c>
      <c r="F873" s="38">
        <v>1274</v>
      </c>
      <c r="G873" s="38">
        <v>75</v>
      </c>
      <c r="H873" s="46">
        <v>600</v>
      </c>
      <c r="I873" s="38">
        <v>695</v>
      </c>
      <c r="J873" s="38">
        <v>50</v>
      </c>
      <c r="K873" s="39"/>
      <c r="L873" s="39"/>
      <c r="M873" s="39"/>
      <c r="N873" s="39"/>
      <c r="O873" s="39"/>
      <c r="P873" s="39"/>
      <c r="Q873" s="39"/>
      <c r="R873" s="39"/>
      <c r="S873" s="39"/>
      <c r="T873" s="39"/>
    </row>
    <row r="874" spans="1:20" ht="15.75">
      <c r="A874" s="13">
        <v>67753</v>
      </c>
      <c r="B874" s="47">
        <f t="shared" si="4"/>
        <v>30</v>
      </c>
      <c r="C874" s="38">
        <v>194.20500000000001</v>
      </c>
      <c r="D874" s="38">
        <v>267.46600000000001</v>
      </c>
      <c r="E874" s="44">
        <v>812.32899999999995</v>
      </c>
      <c r="F874" s="38">
        <v>1274</v>
      </c>
      <c r="G874" s="38">
        <v>50</v>
      </c>
      <c r="H874" s="46">
        <v>600</v>
      </c>
      <c r="I874" s="38">
        <v>695</v>
      </c>
      <c r="J874" s="38">
        <v>50</v>
      </c>
      <c r="K874" s="39"/>
      <c r="L874" s="39"/>
      <c r="M874" s="39"/>
      <c r="N874" s="39"/>
      <c r="O874" s="39"/>
      <c r="P874" s="39"/>
      <c r="Q874" s="39"/>
      <c r="R874" s="39"/>
      <c r="S874" s="39"/>
      <c r="T874" s="39"/>
    </row>
    <row r="875" spans="1:20" ht="15.75">
      <c r="A875" s="13">
        <v>67784</v>
      </c>
      <c r="B875" s="47">
        <f t="shared" si="4"/>
        <v>31</v>
      </c>
      <c r="C875" s="38">
        <v>194.20500000000001</v>
      </c>
      <c r="D875" s="38">
        <v>267.46600000000001</v>
      </c>
      <c r="E875" s="44">
        <v>812.32899999999995</v>
      </c>
      <c r="F875" s="38">
        <v>1274</v>
      </c>
      <c r="G875" s="38">
        <v>50</v>
      </c>
      <c r="H875" s="46">
        <v>600</v>
      </c>
      <c r="I875" s="38">
        <v>695</v>
      </c>
      <c r="J875" s="38">
        <v>0</v>
      </c>
      <c r="K875" s="39"/>
      <c r="L875" s="39"/>
      <c r="M875" s="39"/>
      <c r="N875" s="39"/>
      <c r="O875" s="39"/>
      <c r="P875" s="39"/>
      <c r="Q875" s="39"/>
      <c r="R875" s="39"/>
      <c r="S875" s="39"/>
      <c r="T875" s="39"/>
    </row>
    <row r="876" spans="1:20" ht="15.75">
      <c r="A876" s="13">
        <v>67815</v>
      </c>
      <c r="B876" s="47">
        <f t="shared" si="4"/>
        <v>31</v>
      </c>
      <c r="C876" s="38">
        <v>194.20500000000001</v>
      </c>
      <c r="D876" s="38">
        <v>267.46600000000001</v>
      </c>
      <c r="E876" s="44">
        <v>812.32899999999995</v>
      </c>
      <c r="F876" s="38">
        <v>1274</v>
      </c>
      <c r="G876" s="38">
        <v>50</v>
      </c>
      <c r="H876" s="46">
        <v>600</v>
      </c>
      <c r="I876" s="38">
        <v>695</v>
      </c>
      <c r="J876" s="38">
        <v>0</v>
      </c>
      <c r="K876" s="39"/>
      <c r="L876" s="39"/>
      <c r="M876" s="39"/>
      <c r="N876" s="39"/>
      <c r="O876" s="39"/>
      <c r="P876" s="39"/>
      <c r="Q876" s="39"/>
      <c r="R876" s="39"/>
      <c r="S876" s="39"/>
      <c r="T876" s="39"/>
    </row>
    <row r="877" spans="1:20" ht="15.75">
      <c r="A877" s="13">
        <v>67845</v>
      </c>
      <c r="B877" s="47">
        <f t="shared" si="4"/>
        <v>30</v>
      </c>
      <c r="C877" s="38">
        <v>194.20500000000001</v>
      </c>
      <c r="D877" s="38">
        <v>267.46600000000001</v>
      </c>
      <c r="E877" s="44">
        <v>812.32899999999995</v>
      </c>
      <c r="F877" s="38">
        <v>1274</v>
      </c>
      <c r="G877" s="38">
        <v>50</v>
      </c>
      <c r="H877" s="46">
        <v>600</v>
      </c>
      <c r="I877" s="38">
        <v>695</v>
      </c>
      <c r="J877" s="38">
        <v>0</v>
      </c>
      <c r="K877" s="39"/>
      <c r="L877" s="39"/>
      <c r="M877" s="39"/>
      <c r="N877" s="39"/>
      <c r="O877" s="39"/>
      <c r="P877" s="39"/>
      <c r="Q877" s="39"/>
      <c r="R877" s="39"/>
      <c r="S877" s="39"/>
      <c r="T877" s="39"/>
    </row>
    <row r="878" spans="1:20" ht="15.75">
      <c r="A878" s="13">
        <v>67876</v>
      </c>
      <c r="B878" s="47">
        <f t="shared" si="4"/>
        <v>31</v>
      </c>
      <c r="C878" s="38">
        <v>131.881</v>
      </c>
      <c r="D878" s="38">
        <v>277.16699999999997</v>
      </c>
      <c r="E878" s="44">
        <v>829.952</v>
      </c>
      <c r="F878" s="38">
        <v>1239</v>
      </c>
      <c r="G878" s="38">
        <v>75</v>
      </c>
      <c r="H878" s="46">
        <v>600</v>
      </c>
      <c r="I878" s="38">
        <v>695</v>
      </c>
      <c r="J878" s="38">
        <v>0</v>
      </c>
      <c r="K878" s="39"/>
      <c r="L878" s="39"/>
      <c r="M878" s="39"/>
      <c r="N878" s="39"/>
      <c r="O878" s="39"/>
      <c r="P878" s="39"/>
      <c r="Q878" s="39"/>
      <c r="R878" s="39"/>
      <c r="S878" s="39"/>
      <c r="T878" s="39"/>
    </row>
    <row r="879" spans="1:20" ht="15.75">
      <c r="A879" s="13">
        <v>67906</v>
      </c>
      <c r="B879" s="47">
        <f t="shared" si="4"/>
        <v>30</v>
      </c>
      <c r="C879" s="38">
        <v>122.58</v>
      </c>
      <c r="D879" s="38">
        <v>297.94099999999997</v>
      </c>
      <c r="E879" s="44">
        <v>729.47900000000004</v>
      </c>
      <c r="F879" s="38">
        <v>1150</v>
      </c>
      <c r="G879" s="38">
        <v>100</v>
      </c>
      <c r="H879" s="46">
        <v>600</v>
      </c>
      <c r="I879" s="38">
        <v>695</v>
      </c>
      <c r="J879" s="38">
        <v>50</v>
      </c>
      <c r="K879" s="39"/>
      <c r="L879" s="39"/>
      <c r="M879" s="39"/>
      <c r="N879" s="39"/>
      <c r="O879" s="39"/>
      <c r="P879" s="39"/>
      <c r="Q879" s="39"/>
      <c r="R879" s="39"/>
      <c r="S879" s="39"/>
      <c r="T879" s="39"/>
    </row>
    <row r="880" spans="1:20" ht="15.75">
      <c r="A880" s="13">
        <v>67937</v>
      </c>
      <c r="B880" s="47">
        <f t="shared" si="4"/>
        <v>31</v>
      </c>
      <c r="C880" s="38">
        <v>122.58</v>
      </c>
      <c r="D880" s="38">
        <v>297.94099999999997</v>
      </c>
      <c r="E880" s="44">
        <v>729.47900000000004</v>
      </c>
      <c r="F880" s="38">
        <v>1150</v>
      </c>
      <c r="G880" s="38">
        <v>100</v>
      </c>
      <c r="H880" s="46">
        <v>600</v>
      </c>
      <c r="I880" s="38">
        <v>695</v>
      </c>
      <c r="J880" s="38">
        <v>50</v>
      </c>
      <c r="K880" s="39"/>
      <c r="L880" s="39"/>
      <c r="M880" s="39"/>
      <c r="N880" s="39"/>
      <c r="O880" s="39"/>
      <c r="P880" s="39"/>
      <c r="Q880" s="39"/>
      <c r="R880" s="39"/>
      <c r="S880" s="39"/>
      <c r="T880" s="39"/>
    </row>
    <row r="881" spans="1:20" ht="15.75">
      <c r="A881" s="13">
        <v>67968</v>
      </c>
      <c r="B881" s="47">
        <f t="shared" si="4"/>
        <v>31</v>
      </c>
      <c r="C881" s="38">
        <v>122.58</v>
      </c>
      <c r="D881" s="38">
        <v>297.94099999999997</v>
      </c>
      <c r="E881" s="44">
        <v>729.47900000000004</v>
      </c>
      <c r="F881" s="38">
        <v>1150</v>
      </c>
      <c r="G881" s="38">
        <v>100</v>
      </c>
      <c r="H881" s="46">
        <v>600</v>
      </c>
      <c r="I881" s="38">
        <v>695</v>
      </c>
      <c r="J881" s="38">
        <v>50</v>
      </c>
      <c r="K881" s="39"/>
      <c r="L881" s="39"/>
      <c r="M881" s="39"/>
      <c r="N881" s="39"/>
      <c r="O881" s="39"/>
      <c r="P881" s="39"/>
      <c r="Q881" s="39"/>
      <c r="R881" s="39"/>
      <c r="S881" s="39"/>
      <c r="T881" s="39"/>
    </row>
    <row r="882" spans="1:20" ht="15.75">
      <c r="A882" s="13">
        <v>67996</v>
      </c>
      <c r="B882" s="47">
        <f t="shared" si="4"/>
        <v>28</v>
      </c>
      <c r="C882" s="38">
        <v>122.58</v>
      </c>
      <c r="D882" s="38">
        <v>297.94099999999997</v>
      </c>
      <c r="E882" s="44">
        <v>729.47900000000004</v>
      </c>
      <c r="F882" s="38">
        <v>1150</v>
      </c>
      <c r="G882" s="38">
        <v>100</v>
      </c>
      <c r="H882" s="46">
        <v>600</v>
      </c>
      <c r="I882" s="38">
        <v>695</v>
      </c>
      <c r="J882" s="38">
        <v>50</v>
      </c>
      <c r="K882" s="39"/>
      <c r="L882" s="39"/>
      <c r="M882" s="39"/>
      <c r="N882" s="39"/>
      <c r="O882" s="39"/>
      <c r="P882" s="39"/>
      <c r="Q882" s="39"/>
      <c r="R882" s="39"/>
      <c r="S882" s="39"/>
      <c r="T882" s="39"/>
    </row>
    <row r="883" spans="1:20" ht="15.75">
      <c r="A883" s="13">
        <v>68027</v>
      </c>
      <c r="B883" s="47">
        <f t="shared" si="4"/>
        <v>31</v>
      </c>
      <c r="C883" s="38">
        <v>122.58</v>
      </c>
      <c r="D883" s="38">
        <v>297.94099999999997</v>
      </c>
      <c r="E883" s="44">
        <v>729.47900000000004</v>
      </c>
      <c r="F883" s="38">
        <v>1150</v>
      </c>
      <c r="G883" s="38">
        <v>100</v>
      </c>
      <c r="H883" s="46">
        <v>600</v>
      </c>
      <c r="I883" s="38">
        <v>695</v>
      </c>
      <c r="J883" s="38">
        <v>50</v>
      </c>
      <c r="K883" s="39"/>
      <c r="L883" s="39"/>
      <c r="M883" s="39"/>
      <c r="N883" s="39"/>
      <c r="O883" s="39"/>
      <c r="P883" s="39"/>
      <c r="Q883" s="39"/>
      <c r="R883" s="39"/>
      <c r="S883" s="39"/>
      <c r="T883" s="39"/>
    </row>
    <row r="884" spans="1:20" ht="15.75">
      <c r="A884" s="13">
        <v>68057</v>
      </c>
      <c r="B884" s="47">
        <f t="shared" si="4"/>
        <v>30</v>
      </c>
      <c r="C884" s="38">
        <v>141.29300000000001</v>
      </c>
      <c r="D884" s="38">
        <v>267.99299999999999</v>
      </c>
      <c r="E884" s="44">
        <v>829.71400000000006</v>
      </c>
      <c r="F884" s="38">
        <v>1239</v>
      </c>
      <c r="G884" s="38">
        <v>100</v>
      </c>
      <c r="H884" s="46">
        <v>600</v>
      </c>
      <c r="I884" s="38">
        <v>695</v>
      </c>
      <c r="J884" s="38">
        <v>50</v>
      </c>
      <c r="K884" s="39"/>
      <c r="L884" s="39"/>
      <c r="M884" s="39"/>
      <c r="N884" s="39"/>
      <c r="O884" s="39"/>
      <c r="P884" s="39"/>
      <c r="Q884" s="39"/>
      <c r="R884" s="39"/>
      <c r="S884" s="39"/>
      <c r="T884" s="39"/>
    </row>
    <row r="885" spans="1:20" ht="15.75">
      <c r="A885" s="13">
        <v>68088</v>
      </c>
      <c r="B885" s="47">
        <f t="shared" si="4"/>
        <v>31</v>
      </c>
      <c r="C885" s="38">
        <v>194.20500000000001</v>
      </c>
      <c r="D885" s="38">
        <v>267.46600000000001</v>
      </c>
      <c r="E885" s="44">
        <v>812.32899999999995</v>
      </c>
      <c r="F885" s="38">
        <v>1274</v>
      </c>
      <c r="G885" s="38">
        <v>75</v>
      </c>
      <c r="H885" s="46">
        <v>600</v>
      </c>
      <c r="I885" s="38">
        <v>695</v>
      </c>
      <c r="J885" s="38">
        <v>50</v>
      </c>
      <c r="K885" s="39"/>
      <c r="L885" s="39"/>
      <c r="M885" s="39"/>
      <c r="N885" s="39"/>
      <c r="O885" s="39"/>
      <c r="P885" s="39"/>
      <c r="Q885" s="39"/>
      <c r="R885" s="39"/>
      <c r="S885" s="39"/>
      <c r="T885" s="39"/>
    </row>
    <row r="886" spans="1:20" ht="15.75">
      <c r="A886" s="13">
        <v>68118</v>
      </c>
      <c r="B886" s="47">
        <f t="shared" si="4"/>
        <v>30</v>
      </c>
      <c r="C886" s="38">
        <v>194.20500000000001</v>
      </c>
      <c r="D886" s="38">
        <v>267.46600000000001</v>
      </c>
      <c r="E886" s="44">
        <v>812.32899999999995</v>
      </c>
      <c r="F886" s="38">
        <v>1274</v>
      </c>
      <c r="G886" s="38">
        <v>50</v>
      </c>
      <c r="H886" s="46">
        <v>600</v>
      </c>
      <c r="I886" s="38">
        <v>695</v>
      </c>
      <c r="J886" s="38">
        <v>50</v>
      </c>
      <c r="K886" s="39"/>
      <c r="L886" s="39"/>
      <c r="M886" s="39"/>
      <c r="N886" s="39"/>
      <c r="O886" s="39"/>
      <c r="P886" s="39"/>
      <c r="Q886" s="39"/>
      <c r="R886" s="39"/>
      <c r="S886" s="39"/>
      <c r="T886" s="39"/>
    </row>
    <row r="887" spans="1:20" ht="15.75">
      <c r="A887" s="13">
        <v>68149</v>
      </c>
      <c r="B887" s="47">
        <f t="shared" si="4"/>
        <v>31</v>
      </c>
      <c r="C887" s="38">
        <v>194.20500000000001</v>
      </c>
      <c r="D887" s="38">
        <v>267.46600000000001</v>
      </c>
      <c r="E887" s="44">
        <v>812.32899999999995</v>
      </c>
      <c r="F887" s="38">
        <v>1274</v>
      </c>
      <c r="G887" s="38">
        <v>50</v>
      </c>
      <c r="H887" s="46">
        <v>600</v>
      </c>
      <c r="I887" s="38">
        <v>695</v>
      </c>
      <c r="J887" s="38">
        <v>0</v>
      </c>
      <c r="K887" s="39"/>
      <c r="L887" s="39"/>
      <c r="M887" s="39"/>
      <c r="N887" s="39"/>
      <c r="O887" s="39"/>
      <c r="P887" s="39"/>
      <c r="Q887" s="39"/>
      <c r="R887" s="39"/>
      <c r="S887" s="39"/>
      <c r="T887" s="39"/>
    </row>
    <row r="888" spans="1:20" ht="15.75">
      <c r="A888" s="13">
        <v>68180</v>
      </c>
      <c r="B888" s="47">
        <f t="shared" si="4"/>
        <v>31</v>
      </c>
      <c r="C888" s="38">
        <v>194.20500000000001</v>
      </c>
      <c r="D888" s="38">
        <v>267.46600000000001</v>
      </c>
      <c r="E888" s="44">
        <v>812.32899999999995</v>
      </c>
      <c r="F888" s="38">
        <v>1274</v>
      </c>
      <c r="G888" s="38">
        <v>50</v>
      </c>
      <c r="H888" s="46">
        <v>600</v>
      </c>
      <c r="I888" s="38">
        <v>695</v>
      </c>
      <c r="J888" s="38">
        <v>0</v>
      </c>
      <c r="K888" s="39"/>
      <c r="L888" s="39"/>
      <c r="M888" s="39"/>
      <c r="N888" s="39"/>
      <c r="O888" s="39"/>
      <c r="P888" s="39"/>
      <c r="Q888" s="39"/>
      <c r="R888" s="39"/>
      <c r="S888" s="39"/>
      <c r="T888" s="39"/>
    </row>
    <row r="889" spans="1:20" ht="15.75">
      <c r="A889" s="13">
        <v>68210</v>
      </c>
      <c r="B889" s="47">
        <f t="shared" si="4"/>
        <v>30</v>
      </c>
      <c r="C889" s="38">
        <v>194.20500000000001</v>
      </c>
      <c r="D889" s="38">
        <v>267.46600000000001</v>
      </c>
      <c r="E889" s="44">
        <v>812.32899999999995</v>
      </c>
      <c r="F889" s="38">
        <v>1274</v>
      </c>
      <c r="G889" s="38">
        <v>50</v>
      </c>
      <c r="H889" s="46">
        <v>600</v>
      </c>
      <c r="I889" s="38">
        <v>695</v>
      </c>
      <c r="J889" s="38">
        <v>0</v>
      </c>
      <c r="K889" s="39"/>
      <c r="L889" s="39"/>
      <c r="M889" s="39"/>
      <c r="N889" s="39"/>
      <c r="O889" s="39"/>
      <c r="P889" s="39"/>
      <c r="Q889" s="39"/>
      <c r="R889" s="39"/>
      <c r="S889" s="39"/>
      <c r="T889" s="39"/>
    </row>
    <row r="890" spans="1:20" ht="15.75">
      <c r="A890" s="13">
        <v>68241</v>
      </c>
      <c r="B890" s="47">
        <f t="shared" si="4"/>
        <v>31</v>
      </c>
      <c r="C890" s="38">
        <v>131.881</v>
      </c>
      <c r="D890" s="38">
        <v>277.16699999999997</v>
      </c>
      <c r="E890" s="44">
        <v>829.952</v>
      </c>
      <c r="F890" s="38">
        <v>1239</v>
      </c>
      <c r="G890" s="38">
        <v>75</v>
      </c>
      <c r="H890" s="46">
        <v>600</v>
      </c>
      <c r="I890" s="38">
        <v>695</v>
      </c>
      <c r="J890" s="38">
        <v>0</v>
      </c>
      <c r="K890" s="39"/>
      <c r="L890" s="39"/>
      <c r="M890" s="39"/>
      <c r="N890" s="39"/>
      <c r="O890" s="39"/>
      <c r="P890" s="39"/>
      <c r="Q890" s="39"/>
      <c r="R890" s="39"/>
      <c r="S890" s="39"/>
      <c r="T890" s="39"/>
    </row>
    <row r="891" spans="1:20" ht="15.75">
      <c r="A891" s="13">
        <v>68271</v>
      </c>
      <c r="B891" s="47">
        <f t="shared" si="4"/>
        <v>30</v>
      </c>
      <c r="C891" s="38">
        <v>122.58</v>
      </c>
      <c r="D891" s="38">
        <v>297.94099999999997</v>
      </c>
      <c r="E891" s="44">
        <v>729.47900000000004</v>
      </c>
      <c r="F891" s="38">
        <v>1150</v>
      </c>
      <c r="G891" s="38">
        <v>100</v>
      </c>
      <c r="H891" s="46">
        <v>600</v>
      </c>
      <c r="I891" s="38">
        <v>695</v>
      </c>
      <c r="J891" s="38">
        <v>50</v>
      </c>
      <c r="K891" s="39"/>
      <c r="L891" s="39"/>
      <c r="M891" s="39"/>
      <c r="N891" s="39"/>
      <c r="O891" s="39"/>
      <c r="P891" s="39"/>
      <c r="Q891" s="39"/>
      <c r="R891" s="39"/>
      <c r="S891" s="39"/>
      <c r="T891" s="39"/>
    </row>
    <row r="892" spans="1:20" ht="15.75">
      <c r="A892" s="13">
        <v>68302</v>
      </c>
      <c r="B892" s="47">
        <f t="shared" si="4"/>
        <v>31</v>
      </c>
      <c r="C892" s="38">
        <v>122.58</v>
      </c>
      <c r="D892" s="38">
        <v>297.94099999999997</v>
      </c>
      <c r="E892" s="44">
        <v>729.47900000000004</v>
      </c>
      <c r="F892" s="38">
        <v>1150</v>
      </c>
      <c r="G892" s="38">
        <v>100</v>
      </c>
      <c r="H892" s="46">
        <v>600</v>
      </c>
      <c r="I892" s="38">
        <v>695</v>
      </c>
      <c r="J892" s="38">
        <v>50</v>
      </c>
      <c r="K892" s="39"/>
      <c r="L892" s="39"/>
      <c r="M892" s="39"/>
      <c r="N892" s="39"/>
      <c r="O892" s="39"/>
      <c r="P892" s="39"/>
      <c r="Q892" s="39"/>
      <c r="R892" s="39"/>
      <c r="S892" s="39"/>
      <c r="T892" s="39"/>
    </row>
    <row r="893" spans="1:20" ht="15.75">
      <c r="A893" s="13">
        <v>68333</v>
      </c>
      <c r="B893" s="47">
        <f t="shared" si="4"/>
        <v>31</v>
      </c>
      <c r="C893" s="38">
        <v>122.58</v>
      </c>
      <c r="D893" s="38">
        <v>297.94099999999997</v>
      </c>
      <c r="E893" s="44">
        <v>729.47900000000004</v>
      </c>
      <c r="F893" s="38">
        <v>1150</v>
      </c>
      <c r="G893" s="38">
        <v>100</v>
      </c>
      <c r="H893" s="46">
        <v>600</v>
      </c>
      <c r="I893" s="38">
        <v>695</v>
      </c>
      <c r="J893" s="38">
        <v>50</v>
      </c>
      <c r="K893" s="39"/>
      <c r="L893" s="39"/>
      <c r="M893" s="39"/>
      <c r="N893" s="39"/>
      <c r="O893" s="39"/>
      <c r="P893" s="39"/>
      <c r="Q893" s="39"/>
      <c r="R893" s="39"/>
      <c r="S893" s="39"/>
      <c r="T893" s="39"/>
    </row>
    <row r="894" spans="1:20" ht="15.75">
      <c r="A894" s="13">
        <v>68361</v>
      </c>
      <c r="B894" s="47">
        <f t="shared" si="4"/>
        <v>28</v>
      </c>
      <c r="C894" s="38">
        <v>122.58</v>
      </c>
      <c r="D894" s="38">
        <v>297.94099999999997</v>
      </c>
      <c r="E894" s="44">
        <v>729.47900000000004</v>
      </c>
      <c r="F894" s="38">
        <v>1150</v>
      </c>
      <c r="G894" s="38">
        <v>100</v>
      </c>
      <c r="H894" s="46">
        <v>600</v>
      </c>
      <c r="I894" s="38">
        <v>695</v>
      </c>
      <c r="J894" s="38">
        <v>50</v>
      </c>
      <c r="K894" s="39"/>
      <c r="L894" s="39"/>
      <c r="M894" s="39"/>
      <c r="N894" s="39"/>
      <c r="O894" s="39"/>
      <c r="P894" s="39"/>
      <c r="Q894" s="39"/>
      <c r="R894" s="39"/>
      <c r="S894" s="39"/>
      <c r="T894" s="39"/>
    </row>
    <row r="895" spans="1:20" ht="15.75">
      <c r="A895" s="13">
        <v>68392</v>
      </c>
      <c r="B895" s="47">
        <f t="shared" si="4"/>
        <v>31</v>
      </c>
      <c r="C895" s="38">
        <v>122.58</v>
      </c>
      <c r="D895" s="38">
        <v>297.94099999999997</v>
      </c>
      <c r="E895" s="44">
        <v>729.47900000000004</v>
      </c>
      <c r="F895" s="38">
        <v>1150</v>
      </c>
      <c r="G895" s="38">
        <v>100</v>
      </c>
      <c r="H895" s="46">
        <v>600</v>
      </c>
      <c r="I895" s="38">
        <v>695</v>
      </c>
      <c r="J895" s="38">
        <v>50</v>
      </c>
      <c r="K895" s="39"/>
      <c r="L895" s="39"/>
      <c r="M895" s="39"/>
      <c r="N895" s="39"/>
      <c r="O895" s="39"/>
      <c r="P895" s="39"/>
      <c r="Q895" s="39"/>
      <c r="R895" s="39"/>
      <c r="S895" s="39"/>
      <c r="T895" s="39"/>
    </row>
    <row r="896" spans="1:20" ht="15.75">
      <c r="A896" s="13">
        <v>68422</v>
      </c>
      <c r="B896" s="47">
        <f t="shared" si="4"/>
        <v>30</v>
      </c>
      <c r="C896" s="38">
        <v>141.29300000000001</v>
      </c>
      <c r="D896" s="38">
        <v>267.99299999999999</v>
      </c>
      <c r="E896" s="44">
        <v>829.71400000000006</v>
      </c>
      <c r="F896" s="38">
        <v>1239</v>
      </c>
      <c r="G896" s="38">
        <v>100</v>
      </c>
      <c r="H896" s="46">
        <v>600</v>
      </c>
      <c r="I896" s="38">
        <v>695</v>
      </c>
      <c r="J896" s="38">
        <v>50</v>
      </c>
      <c r="K896" s="39"/>
      <c r="L896" s="39"/>
      <c r="M896" s="39"/>
      <c r="N896" s="39"/>
      <c r="O896" s="39"/>
      <c r="P896" s="39"/>
      <c r="Q896" s="39"/>
      <c r="R896" s="39"/>
      <c r="S896" s="39"/>
      <c r="T896" s="39"/>
    </row>
    <row r="897" spans="1:20" ht="15.75">
      <c r="A897" s="13">
        <v>68453</v>
      </c>
      <c r="B897" s="47">
        <f t="shared" si="4"/>
        <v>31</v>
      </c>
      <c r="C897" s="38">
        <v>194.20500000000001</v>
      </c>
      <c r="D897" s="38">
        <v>267.46600000000001</v>
      </c>
      <c r="E897" s="44">
        <v>812.32899999999995</v>
      </c>
      <c r="F897" s="38">
        <v>1274</v>
      </c>
      <c r="G897" s="38">
        <v>75</v>
      </c>
      <c r="H897" s="46">
        <v>600</v>
      </c>
      <c r="I897" s="38">
        <v>695</v>
      </c>
      <c r="J897" s="38">
        <v>50</v>
      </c>
      <c r="K897" s="39"/>
      <c r="L897" s="39"/>
      <c r="M897" s="39"/>
      <c r="N897" s="39"/>
      <c r="O897" s="39"/>
      <c r="P897" s="39"/>
      <c r="Q897" s="39"/>
      <c r="R897" s="39"/>
      <c r="S897" s="39"/>
      <c r="T897" s="39"/>
    </row>
    <row r="898" spans="1:20" ht="15.75">
      <c r="A898" s="13">
        <v>68483</v>
      </c>
      <c r="B898" s="47">
        <f t="shared" si="4"/>
        <v>30</v>
      </c>
      <c r="C898" s="38">
        <v>194.20500000000001</v>
      </c>
      <c r="D898" s="38">
        <v>267.46600000000001</v>
      </c>
      <c r="E898" s="44">
        <v>812.32899999999995</v>
      </c>
      <c r="F898" s="38">
        <v>1274</v>
      </c>
      <c r="G898" s="38">
        <v>50</v>
      </c>
      <c r="H898" s="46">
        <v>600</v>
      </c>
      <c r="I898" s="38">
        <v>695</v>
      </c>
      <c r="J898" s="38">
        <v>50</v>
      </c>
      <c r="K898" s="39"/>
      <c r="L898" s="39"/>
      <c r="M898" s="39"/>
      <c r="N898" s="39"/>
      <c r="O898" s="39"/>
      <c r="P898" s="39"/>
      <c r="Q898" s="39"/>
      <c r="R898" s="39"/>
      <c r="S898" s="39"/>
      <c r="T898" s="39"/>
    </row>
    <row r="899" spans="1:20" ht="15.75">
      <c r="A899" s="13">
        <v>68514</v>
      </c>
      <c r="B899" s="47">
        <f t="shared" si="4"/>
        <v>31</v>
      </c>
      <c r="C899" s="38">
        <v>194.20500000000001</v>
      </c>
      <c r="D899" s="38">
        <v>267.46600000000001</v>
      </c>
      <c r="E899" s="44">
        <v>812.32899999999995</v>
      </c>
      <c r="F899" s="38">
        <v>1274</v>
      </c>
      <c r="G899" s="38">
        <v>50</v>
      </c>
      <c r="H899" s="46">
        <v>600</v>
      </c>
      <c r="I899" s="38">
        <v>695</v>
      </c>
      <c r="J899" s="38">
        <v>0</v>
      </c>
      <c r="K899" s="39"/>
      <c r="L899" s="39"/>
      <c r="M899" s="39"/>
      <c r="N899" s="39"/>
      <c r="O899" s="39"/>
      <c r="P899" s="39"/>
      <c r="Q899" s="39"/>
      <c r="R899" s="39"/>
      <c r="S899" s="39"/>
      <c r="T899" s="39"/>
    </row>
    <row r="900" spans="1:20" ht="15.75">
      <c r="A900" s="13">
        <v>68545</v>
      </c>
      <c r="B900" s="47">
        <f t="shared" si="4"/>
        <v>31</v>
      </c>
      <c r="C900" s="38">
        <v>194.20500000000001</v>
      </c>
      <c r="D900" s="38">
        <v>267.46600000000001</v>
      </c>
      <c r="E900" s="44">
        <v>812.32899999999995</v>
      </c>
      <c r="F900" s="38">
        <v>1274</v>
      </c>
      <c r="G900" s="38">
        <v>50</v>
      </c>
      <c r="H900" s="46">
        <v>600</v>
      </c>
      <c r="I900" s="38">
        <v>695</v>
      </c>
      <c r="J900" s="38">
        <v>0</v>
      </c>
      <c r="K900" s="39"/>
      <c r="L900" s="39"/>
      <c r="M900" s="39"/>
      <c r="N900" s="39"/>
      <c r="O900" s="39"/>
      <c r="P900" s="39"/>
      <c r="Q900" s="39"/>
      <c r="R900" s="39"/>
      <c r="S900" s="39"/>
      <c r="T900" s="39"/>
    </row>
    <row r="901" spans="1:20" ht="15.75">
      <c r="A901" s="13">
        <v>68575</v>
      </c>
      <c r="B901" s="47">
        <f t="shared" si="4"/>
        <v>30</v>
      </c>
      <c r="C901" s="38">
        <v>194.20500000000001</v>
      </c>
      <c r="D901" s="38">
        <v>267.46600000000001</v>
      </c>
      <c r="E901" s="44">
        <v>812.32899999999995</v>
      </c>
      <c r="F901" s="38">
        <v>1274</v>
      </c>
      <c r="G901" s="38">
        <v>50</v>
      </c>
      <c r="H901" s="46">
        <v>600</v>
      </c>
      <c r="I901" s="38">
        <v>695</v>
      </c>
      <c r="J901" s="38">
        <v>0</v>
      </c>
      <c r="K901" s="39"/>
      <c r="L901" s="39"/>
      <c r="M901" s="39"/>
      <c r="N901" s="39"/>
      <c r="O901" s="39"/>
      <c r="P901" s="39"/>
      <c r="Q901" s="39"/>
      <c r="R901" s="39"/>
      <c r="S901" s="39"/>
      <c r="T901" s="39"/>
    </row>
    <row r="902" spans="1:20" ht="15.75">
      <c r="A902" s="13">
        <v>68606</v>
      </c>
      <c r="B902" s="47">
        <f t="shared" si="4"/>
        <v>31</v>
      </c>
      <c r="C902" s="38">
        <v>131.881</v>
      </c>
      <c r="D902" s="38">
        <v>277.16699999999997</v>
      </c>
      <c r="E902" s="44">
        <v>829.952</v>
      </c>
      <c r="F902" s="38">
        <v>1239</v>
      </c>
      <c r="G902" s="38">
        <v>75</v>
      </c>
      <c r="H902" s="46">
        <v>600</v>
      </c>
      <c r="I902" s="38">
        <v>695</v>
      </c>
      <c r="J902" s="38">
        <v>0</v>
      </c>
      <c r="K902" s="39"/>
      <c r="L902" s="39"/>
      <c r="M902" s="39"/>
      <c r="N902" s="39"/>
      <c r="O902" s="39"/>
      <c r="P902" s="39"/>
      <c r="Q902" s="39"/>
      <c r="R902" s="39"/>
      <c r="S902" s="39"/>
      <c r="T902" s="39"/>
    </row>
    <row r="903" spans="1:20" ht="15.75">
      <c r="A903" s="13">
        <v>68636</v>
      </c>
      <c r="B903" s="47">
        <f t="shared" si="4"/>
        <v>30</v>
      </c>
      <c r="C903" s="38">
        <v>122.58</v>
      </c>
      <c r="D903" s="38">
        <v>297.94099999999997</v>
      </c>
      <c r="E903" s="44">
        <v>729.47900000000004</v>
      </c>
      <c r="F903" s="38">
        <v>1150</v>
      </c>
      <c r="G903" s="38">
        <v>100</v>
      </c>
      <c r="H903" s="46">
        <v>600</v>
      </c>
      <c r="I903" s="38">
        <v>695</v>
      </c>
      <c r="J903" s="38">
        <v>50</v>
      </c>
      <c r="K903" s="39"/>
      <c r="L903" s="39"/>
      <c r="M903" s="39"/>
      <c r="N903" s="39"/>
      <c r="O903" s="39"/>
      <c r="P903" s="39"/>
      <c r="Q903" s="39"/>
      <c r="R903" s="39"/>
      <c r="S903" s="39"/>
      <c r="T903" s="39"/>
    </row>
    <row r="904" spans="1:20" ht="15.75">
      <c r="A904" s="13">
        <v>68667</v>
      </c>
      <c r="B904" s="47">
        <f t="shared" si="4"/>
        <v>31</v>
      </c>
      <c r="C904" s="38">
        <v>122.58</v>
      </c>
      <c r="D904" s="38">
        <v>297.94099999999997</v>
      </c>
      <c r="E904" s="44">
        <v>729.47900000000004</v>
      </c>
      <c r="F904" s="38">
        <v>1150</v>
      </c>
      <c r="G904" s="38">
        <v>100</v>
      </c>
      <c r="H904" s="46">
        <v>600</v>
      </c>
      <c r="I904" s="38">
        <v>695</v>
      </c>
      <c r="J904" s="38">
        <v>50</v>
      </c>
      <c r="K904" s="39"/>
      <c r="L904" s="39"/>
      <c r="M904" s="39"/>
      <c r="N904" s="39"/>
      <c r="O904" s="39"/>
      <c r="P904" s="39"/>
      <c r="Q904" s="39"/>
      <c r="R904" s="39"/>
      <c r="S904" s="39"/>
      <c r="T904" s="39"/>
    </row>
    <row r="905" spans="1:20" ht="15.75">
      <c r="A905" s="13">
        <v>68698</v>
      </c>
      <c r="B905" s="47">
        <f t="shared" si="4"/>
        <v>31</v>
      </c>
      <c r="C905" s="38">
        <v>122.58</v>
      </c>
      <c r="D905" s="38">
        <v>297.94099999999997</v>
      </c>
      <c r="E905" s="44">
        <v>729.47900000000004</v>
      </c>
      <c r="F905" s="38">
        <v>1150</v>
      </c>
      <c r="G905" s="38">
        <v>100</v>
      </c>
      <c r="H905" s="46">
        <v>600</v>
      </c>
      <c r="I905" s="38">
        <v>695</v>
      </c>
      <c r="J905" s="38">
        <v>50</v>
      </c>
      <c r="K905" s="39"/>
      <c r="L905" s="39"/>
      <c r="M905" s="39"/>
      <c r="N905" s="39"/>
      <c r="O905" s="39"/>
      <c r="P905" s="39"/>
      <c r="Q905" s="39"/>
      <c r="R905" s="39"/>
      <c r="S905" s="39"/>
      <c r="T905" s="39"/>
    </row>
    <row r="906" spans="1:20" ht="15.75">
      <c r="A906" s="13">
        <v>68727</v>
      </c>
      <c r="B906" s="47">
        <f t="shared" si="4"/>
        <v>29</v>
      </c>
      <c r="C906" s="38">
        <v>122.58</v>
      </c>
      <c r="D906" s="38">
        <v>297.94099999999997</v>
      </c>
      <c r="E906" s="44">
        <v>729.47900000000004</v>
      </c>
      <c r="F906" s="38">
        <v>1150</v>
      </c>
      <c r="G906" s="38">
        <v>100</v>
      </c>
      <c r="H906" s="46">
        <v>600</v>
      </c>
      <c r="I906" s="38">
        <v>695</v>
      </c>
      <c r="J906" s="38">
        <v>50</v>
      </c>
      <c r="K906" s="39"/>
      <c r="L906" s="39"/>
      <c r="M906" s="39"/>
      <c r="N906" s="39"/>
      <c r="O906" s="39"/>
      <c r="P906" s="39"/>
      <c r="Q906" s="39"/>
      <c r="R906" s="39"/>
      <c r="S906" s="39"/>
      <c r="T906" s="39"/>
    </row>
    <row r="907" spans="1:20" ht="15.75">
      <c r="A907" s="13">
        <v>68758</v>
      </c>
      <c r="B907" s="47">
        <f t="shared" si="4"/>
        <v>31</v>
      </c>
      <c r="C907" s="38">
        <v>122.58</v>
      </c>
      <c r="D907" s="38">
        <v>297.94099999999997</v>
      </c>
      <c r="E907" s="44">
        <v>729.47900000000004</v>
      </c>
      <c r="F907" s="38">
        <v>1150</v>
      </c>
      <c r="G907" s="38">
        <v>100</v>
      </c>
      <c r="H907" s="46">
        <v>600</v>
      </c>
      <c r="I907" s="38">
        <v>695</v>
      </c>
      <c r="J907" s="38">
        <v>50</v>
      </c>
      <c r="K907" s="39"/>
      <c r="L907" s="39"/>
      <c r="M907" s="39"/>
      <c r="N907" s="39"/>
      <c r="O907" s="39"/>
      <c r="P907" s="39"/>
      <c r="Q907" s="39"/>
      <c r="R907" s="39"/>
      <c r="S907" s="39"/>
      <c r="T907" s="39"/>
    </row>
    <row r="908" spans="1:20" ht="15.75">
      <c r="A908" s="13">
        <v>68788</v>
      </c>
      <c r="B908" s="47">
        <f t="shared" si="4"/>
        <v>30</v>
      </c>
      <c r="C908" s="38">
        <v>141.29300000000001</v>
      </c>
      <c r="D908" s="38">
        <v>267.99299999999999</v>
      </c>
      <c r="E908" s="44">
        <v>829.71400000000006</v>
      </c>
      <c r="F908" s="38">
        <v>1239</v>
      </c>
      <c r="G908" s="38">
        <v>100</v>
      </c>
      <c r="H908" s="46">
        <v>600</v>
      </c>
      <c r="I908" s="38">
        <v>695</v>
      </c>
      <c r="J908" s="38">
        <v>50</v>
      </c>
      <c r="K908" s="39"/>
      <c r="L908" s="39"/>
      <c r="M908" s="39"/>
      <c r="N908" s="39"/>
      <c r="O908" s="39"/>
      <c r="P908" s="39"/>
      <c r="Q908" s="39"/>
      <c r="R908" s="39"/>
      <c r="S908" s="39"/>
      <c r="T908" s="39"/>
    </row>
    <row r="909" spans="1:20" ht="15.75">
      <c r="A909" s="13">
        <v>68819</v>
      </c>
      <c r="B909" s="47">
        <f t="shared" si="4"/>
        <v>31</v>
      </c>
      <c r="C909" s="38">
        <v>194.20500000000001</v>
      </c>
      <c r="D909" s="38">
        <v>267.46600000000001</v>
      </c>
      <c r="E909" s="44">
        <v>812.32899999999995</v>
      </c>
      <c r="F909" s="38">
        <v>1274</v>
      </c>
      <c r="G909" s="38">
        <v>75</v>
      </c>
      <c r="H909" s="46">
        <v>600</v>
      </c>
      <c r="I909" s="38">
        <v>695</v>
      </c>
      <c r="J909" s="38">
        <v>50</v>
      </c>
      <c r="K909" s="39"/>
      <c r="L909" s="39"/>
      <c r="M909" s="39"/>
      <c r="N909" s="39"/>
      <c r="O909" s="39"/>
      <c r="P909" s="39"/>
      <c r="Q909" s="39"/>
      <c r="R909" s="39"/>
      <c r="S909" s="39"/>
      <c r="T909" s="39"/>
    </row>
    <row r="910" spans="1:20" ht="15.75">
      <c r="A910" s="13">
        <v>68849</v>
      </c>
      <c r="B910" s="47">
        <f t="shared" si="4"/>
        <v>30</v>
      </c>
      <c r="C910" s="38">
        <v>194.20500000000001</v>
      </c>
      <c r="D910" s="38">
        <v>267.46600000000001</v>
      </c>
      <c r="E910" s="44">
        <v>812.32899999999995</v>
      </c>
      <c r="F910" s="38">
        <v>1274</v>
      </c>
      <c r="G910" s="38">
        <v>50</v>
      </c>
      <c r="H910" s="46">
        <v>600</v>
      </c>
      <c r="I910" s="38">
        <v>695</v>
      </c>
      <c r="J910" s="38">
        <v>50</v>
      </c>
      <c r="K910" s="39"/>
      <c r="L910" s="39"/>
      <c r="M910" s="39"/>
      <c r="N910" s="39"/>
      <c r="O910" s="39"/>
      <c r="P910" s="39"/>
      <c r="Q910" s="39"/>
      <c r="R910" s="39"/>
      <c r="S910" s="39"/>
      <c r="T910" s="39"/>
    </row>
    <row r="911" spans="1:20" ht="15.75">
      <c r="A911" s="13">
        <v>68880</v>
      </c>
      <c r="B911" s="47">
        <f t="shared" si="4"/>
        <v>31</v>
      </c>
      <c r="C911" s="38">
        <v>194.20500000000001</v>
      </c>
      <c r="D911" s="38">
        <v>267.46600000000001</v>
      </c>
      <c r="E911" s="44">
        <v>812.32899999999995</v>
      </c>
      <c r="F911" s="38">
        <v>1274</v>
      </c>
      <c r="G911" s="38">
        <v>50</v>
      </c>
      <c r="H911" s="46">
        <v>600</v>
      </c>
      <c r="I911" s="38">
        <v>695</v>
      </c>
      <c r="J911" s="38">
        <v>0</v>
      </c>
      <c r="K911" s="39"/>
      <c r="L911" s="39"/>
      <c r="M911" s="39"/>
      <c r="N911" s="39"/>
      <c r="O911" s="39"/>
      <c r="P911" s="39"/>
      <c r="Q911" s="39"/>
      <c r="R911" s="39"/>
      <c r="S911" s="39"/>
      <c r="T911" s="39"/>
    </row>
    <row r="912" spans="1:20" ht="15.75">
      <c r="A912" s="13">
        <v>68911</v>
      </c>
      <c r="B912" s="47">
        <f t="shared" si="4"/>
        <v>31</v>
      </c>
      <c r="C912" s="38">
        <v>194.20500000000001</v>
      </c>
      <c r="D912" s="38">
        <v>267.46600000000001</v>
      </c>
      <c r="E912" s="44">
        <v>812.32899999999995</v>
      </c>
      <c r="F912" s="38">
        <v>1274</v>
      </c>
      <c r="G912" s="38">
        <v>50</v>
      </c>
      <c r="H912" s="46">
        <v>600</v>
      </c>
      <c r="I912" s="38">
        <v>695</v>
      </c>
      <c r="J912" s="38">
        <v>0</v>
      </c>
      <c r="K912" s="39"/>
      <c r="L912" s="39"/>
      <c r="M912" s="39"/>
      <c r="N912" s="39"/>
      <c r="O912" s="39"/>
      <c r="P912" s="39"/>
      <c r="Q912" s="39"/>
      <c r="R912" s="39"/>
      <c r="S912" s="39"/>
      <c r="T912" s="39"/>
    </row>
    <row r="913" spans="1:20" ht="15.75">
      <c r="A913" s="13">
        <v>68941</v>
      </c>
      <c r="B913" s="47">
        <f t="shared" ref="B913:B976" si="5">EOMONTH(A913,0)-EOMONTH(A913,-1)</f>
        <v>30</v>
      </c>
      <c r="C913" s="38">
        <v>194.20500000000001</v>
      </c>
      <c r="D913" s="38">
        <v>267.46600000000001</v>
      </c>
      <c r="E913" s="44">
        <v>812.32899999999995</v>
      </c>
      <c r="F913" s="38">
        <v>1274</v>
      </c>
      <c r="G913" s="38">
        <v>50</v>
      </c>
      <c r="H913" s="46">
        <v>600</v>
      </c>
      <c r="I913" s="38">
        <v>695</v>
      </c>
      <c r="J913" s="38">
        <v>0</v>
      </c>
      <c r="K913" s="39"/>
      <c r="L913" s="39"/>
      <c r="M913" s="39"/>
      <c r="N913" s="39"/>
      <c r="O913" s="39"/>
      <c r="P913" s="39"/>
      <c r="Q913" s="39"/>
      <c r="R913" s="39"/>
      <c r="S913" s="39"/>
      <c r="T913" s="39"/>
    </row>
    <row r="914" spans="1:20" ht="15.75">
      <c r="A914" s="13">
        <v>68972</v>
      </c>
      <c r="B914" s="47">
        <f t="shared" si="5"/>
        <v>31</v>
      </c>
      <c r="C914" s="38">
        <v>131.881</v>
      </c>
      <c r="D914" s="38">
        <v>277.16699999999997</v>
      </c>
      <c r="E914" s="44">
        <v>829.952</v>
      </c>
      <c r="F914" s="38">
        <v>1239</v>
      </c>
      <c r="G914" s="38">
        <v>75</v>
      </c>
      <c r="H914" s="46">
        <v>600</v>
      </c>
      <c r="I914" s="38">
        <v>695</v>
      </c>
      <c r="J914" s="38">
        <v>0</v>
      </c>
      <c r="K914" s="39"/>
      <c r="L914" s="39"/>
      <c r="M914" s="39"/>
      <c r="N914" s="39"/>
      <c r="O914" s="39"/>
      <c r="P914" s="39"/>
      <c r="Q914" s="39"/>
      <c r="R914" s="39"/>
      <c r="S914" s="39"/>
      <c r="T914" s="39"/>
    </row>
    <row r="915" spans="1:20" ht="15.75">
      <c r="A915" s="13">
        <v>69002</v>
      </c>
      <c r="B915" s="47">
        <f t="shared" si="5"/>
        <v>30</v>
      </c>
      <c r="C915" s="38">
        <v>122.58</v>
      </c>
      <c r="D915" s="38">
        <v>297.94099999999997</v>
      </c>
      <c r="E915" s="44">
        <v>729.47900000000004</v>
      </c>
      <c r="F915" s="38">
        <v>1150</v>
      </c>
      <c r="G915" s="38">
        <v>100</v>
      </c>
      <c r="H915" s="46">
        <v>600</v>
      </c>
      <c r="I915" s="38">
        <v>695</v>
      </c>
      <c r="J915" s="38">
        <v>50</v>
      </c>
      <c r="K915" s="39"/>
      <c r="L915" s="39"/>
      <c r="M915" s="39"/>
      <c r="N915" s="39"/>
      <c r="O915" s="39"/>
      <c r="P915" s="39"/>
      <c r="Q915" s="39"/>
      <c r="R915" s="39"/>
      <c r="S915" s="39"/>
      <c r="T915" s="39"/>
    </row>
    <row r="916" spans="1:20" ht="15.75">
      <c r="A916" s="13">
        <v>69033</v>
      </c>
      <c r="B916" s="47">
        <f t="shared" si="5"/>
        <v>31</v>
      </c>
      <c r="C916" s="38">
        <v>122.58</v>
      </c>
      <c r="D916" s="38">
        <v>297.94099999999997</v>
      </c>
      <c r="E916" s="44">
        <v>729.47900000000004</v>
      </c>
      <c r="F916" s="38">
        <v>1150</v>
      </c>
      <c r="G916" s="38">
        <v>100</v>
      </c>
      <c r="H916" s="46">
        <v>600</v>
      </c>
      <c r="I916" s="38">
        <v>695</v>
      </c>
      <c r="J916" s="38">
        <v>50</v>
      </c>
      <c r="K916" s="39"/>
      <c r="L916" s="39"/>
      <c r="M916" s="39"/>
      <c r="N916" s="39"/>
      <c r="O916" s="39"/>
      <c r="P916" s="39"/>
      <c r="Q916" s="39"/>
      <c r="R916" s="39"/>
      <c r="S916" s="39"/>
      <c r="T916" s="39"/>
    </row>
    <row r="917" spans="1:20" ht="15.75">
      <c r="A917" s="13">
        <v>69064</v>
      </c>
      <c r="B917" s="47">
        <f t="shared" si="5"/>
        <v>31</v>
      </c>
      <c r="C917" s="38">
        <v>122.58</v>
      </c>
      <c r="D917" s="38">
        <v>297.94099999999997</v>
      </c>
      <c r="E917" s="44">
        <v>729.47900000000004</v>
      </c>
      <c r="F917" s="38">
        <v>1150</v>
      </c>
      <c r="G917" s="38">
        <v>100</v>
      </c>
      <c r="H917" s="46">
        <v>600</v>
      </c>
      <c r="I917" s="38">
        <v>695</v>
      </c>
      <c r="J917" s="38">
        <v>50</v>
      </c>
      <c r="K917" s="39"/>
      <c r="L917" s="39"/>
      <c r="M917" s="39"/>
      <c r="N917" s="39"/>
      <c r="O917" s="39"/>
      <c r="P917" s="39"/>
      <c r="Q917" s="39"/>
      <c r="R917" s="39"/>
      <c r="S917" s="39"/>
      <c r="T917" s="39"/>
    </row>
    <row r="918" spans="1:20" ht="15.75">
      <c r="A918" s="13">
        <v>69092</v>
      </c>
      <c r="B918" s="47">
        <f t="shared" si="5"/>
        <v>28</v>
      </c>
      <c r="C918" s="38">
        <v>122.58</v>
      </c>
      <c r="D918" s="38">
        <v>297.94099999999997</v>
      </c>
      <c r="E918" s="44">
        <v>729.47900000000004</v>
      </c>
      <c r="F918" s="38">
        <v>1150</v>
      </c>
      <c r="G918" s="38">
        <v>100</v>
      </c>
      <c r="H918" s="46">
        <v>600</v>
      </c>
      <c r="I918" s="38">
        <v>695</v>
      </c>
      <c r="J918" s="38">
        <v>50</v>
      </c>
      <c r="K918" s="39"/>
      <c r="L918" s="39"/>
      <c r="M918" s="39"/>
      <c r="N918" s="39"/>
      <c r="O918" s="39"/>
      <c r="P918" s="39"/>
      <c r="Q918" s="39"/>
      <c r="R918" s="39"/>
      <c r="S918" s="39"/>
      <c r="T918" s="39"/>
    </row>
    <row r="919" spans="1:20" ht="15.75">
      <c r="A919" s="13">
        <v>69123</v>
      </c>
      <c r="B919" s="47">
        <f t="shared" si="5"/>
        <v>31</v>
      </c>
      <c r="C919" s="38">
        <v>122.58</v>
      </c>
      <c r="D919" s="38">
        <v>297.94099999999997</v>
      </c>
      <c r="E919" s="44">
        <v>729.47900000000004</v>
      </c>
      <c r="F919" s="38">
        <v>1150</v>
      </c>
      <c r="G919" s="38">
        <v>100</v>
      </c>
      <c r="H919" s="46">
        <v>600</v>
      </c>
      <c r="I919" s="38">
        <v>695</v>
      </c>
      <c r="J919" s="38">
        <v>50</v>
      </c>
      <c r="K919" s="39"/>
      <c r="L919" s="39"/>
      <c r="M919" s="39"/>
      <c r="N919" s="39"/>
      <c r="O919" s="39"/>
      <c r="P919" s="39"/>
      <c r="Q919" s="39"/>
      <c r="R919" s="39"/>
      <c r="S919" s="39"/>
      <c r="T919" s="39"/>
    </row>
    <row r="920" spans="1:20" ht="15.75">
      <c r="A920" s="13">
        <v>69153</v>
      </c>
      <c r="B920" s="47">
        <f t="shared" si="5"/>
        <v>30</v>
      </c>
      <c r="C920" s="38">
        <v>141.29300000000001</v>
      </c>
      <c r="D920" s="38">
        <v>267.99299999999999</v>
      </c>
      <c r="E920" s="44">
        <v>829.71400000000006</v>
      </c>
      <c r="F920" s="38">
        <v>1239</v>
      </c>
      <c r="G920" s="38">
        <v>100</v>
      </c>
      <c r="H920" s="46">
        <v>600</v>
      </c>
      <c r="I920" s="38">
        <v>695</v>
      </c>
      <c r="J920" s="38">
        <v>50</v>
      </c>
      <c r="K920" s="39"/>
      <c r="L920" s="39"/>
      <c r="M920" s="39"/>
      <c r="N920" s="39"/>
      <c r="O920" s="39"/>
      <c r="P920" s="39"/>
      <c r="Q920" s="39"/>
      <c r="R920" s="39"/>
      <c r="S920" s="39"/>
      <c r="T920" s="39"/>
    </row>
    <row r="921" spans="1:20" ht="15.75">
      <c r="A921" s="13">
        <v>69184</v>
      </c>
      <c r="B921" s="47">
        <f t="shared" si="5"/>
        <v>31</v>
      </c>
      <c r="C921" s="38">
        <v>194.20500000000001</v>
      </c>
      <c r="D921" s="38">
        <v>267.46600000000001</v>
      </c>
      <c r="E921" s="44">
        <v>812.32899999999995</v>
      </c>
      <c r="F921" s="38">
        <v>1274</v>
      </c>
      <c r="G921" s="38">
        <v>75</v>
      </c>
      <c r="H921" s="46">
        <v>600</v>
      </c>
      <c r="I921" s="38">
        <v>695</v>
      </c>
      <c r="J921" s="38">
        <v>50</v>
      </c>
      <c r="K921" s="39"/>
      <c r="L921" s="39"/>
      <c r="M921" s="39"/>
      <c r="N921" s="39"/>
      <c r="O921" s="39"/>
      <c r="P921" s="39"/>
      <c r="Q921" s="39"/>
      <c r="R921" s="39"/>
      <c r="S921" s="39"/>
      <c r="T921" s="39"/>
    </row>
    <row r="922" spans="1:20" ht="15.75">
      <c r="A922" s="13">
        <v>69214</v>
      </c>
      <c r="B922" s="47">
        <f t="shared" si="5"/>
        <v>30</v>
      </c>
      <c r="C922" s="38">
        <v>194.20500000000001</v>
      </c>
      <c r="D922" s="38">
        <v>267.46600000000001</v>
      </c>
      <c r="E922" s="44">
        <v>812.32899999999995</v>
      </c>
      <c r="F922" s="38">
        <v>1274</v>
      </c>
      <c r="G922" s="38">
        <v>50</v>
      </c>
      <c r="H922" s="46">
        <v>600</v>
      </c>
      <c r="I922" s="38">
        <v>695</v>
      </c>
      <c r="J922" s="38">
        <v>50</v>
      </c>
      <c r="K922" s="39"/>
      <c r="L922" s="39"/>
      <c r="M922" s="39"/>
      <c r="N922" s="39"/>
      <c r="O922" s="39"/>
      <c r="P922" s="39"/>
      <c r="Q922" s="39"/>
      <c r="R922" s="39"/>
      <c r="S922" s="39"/>
      <c r="T922" s="39"/>
    </row>
    <row r="923" spans="1:20" ht="15.75">
      <c r="A923" s="13">
        <v>69245</v>
      </c>
      <c r="B923" s="47">
        <f t="shared" si="5"/>
        <v>31</v>
      </c>
      <c r="C923" s="38">
        <v>194.20500000000001</v>
      </c>
      <c r="D923" s="38">
        <v>267.46600000000001</v>
      </c>
      <c r="E923" s="44">
        <v>812.32899999999995</v>
      </c>
      <c r="F923" s="38">
        <v>1274</v>
      </c>
      <c r="G923" s="38">
        <v>50</v>
      </c>
      <c r="H923" s="46">
        <v>600</v>
      </c>
      <c r="I923" s="38">
        <v>695</v>
      </c>
      <c r="J923" s="38">
        <v>0</v>
      </c>
      <c r="K923" s="39"/>
      <c r="L923" s="39"/>
      <c r="M923" s="39"/>
      <c r="N923" s="39"/>
      <c r="O923" s="39"/>
      <c r="P923" s="39"/>
      <c r="Q923" s="39"/>
      <c r="R923" s="39"/>
      <c r="S923" s="39"/>
      <c r="T923" s="39"/>
    </row>
    <row r="924" spans="1:20" ht="15.75">
      <c r="A924" s="13">
        <v>69276</v>
      </c>
      <c r="B924" s="47">
        <f t="shared" si="5"/>
        <v>31</v>
      </c>
      <c r="C924" s="38">
        <v>194.20500000000001</v>
      </c>
      <c r="D924" s="38">
        <v>267.46600000000001</v>
      </c>
      <c r="E924" s="44">
        <v>812.32899999999995</v>
      </c>
      <c r="F924" s="38">
        <v>1274</v>
      </c>
      <c r="G924" s="38">
        <v>50</v>
      </c>
      <c r="H924" s="46">
        <v>600</v>
      </c>
      <c r="I924" s="38">
        <v>695</v>
      </c>
      <c r="J924" s="38">
        <v>0</v>
      </c>
      <c r="K924" s="39"/>
      <c r="L924" s="39"/>
      <c r="M924" s="39"/>
      <c r="N924" s="39"/>
      <c r="O924" s="39"/>
      <c r="P924" s="39"/>
      <c r="Q924" s="39"/>
      <c r="R924" s="39"/>
      <c r="S924" s="39"/>
      <c r="T924" s="39"/>
    </row>
    <row r="925" spans="1:20" ht="15.75">
      <c r="A925" s="13">
        <v>69306</v>
      </c>
      <c r="B925" s="47">
        <f t="shared" si="5"/>
        <v>30</v>
      </c>
      <c r="C925" s="38">
        <v>194.20500000000001</v>
      </c>
      <c r="D925" s="38">
        <v>267.46600000000001</v>
      </c>
      <c r="E925" s="44">
        <v>812.32899999999995</v>
      </c>
      <c r="F925" s="38">
        <v>1274</v>
      </c>
      <c r="G925" s="38">
        <v>50</v>
      </c>
      <c r="H925" s="46">
        <v>600</v>
      </c>
      <c r="I925" s="38">
        <v>695</v>
      </c>
      <c r="J925" s="38">
        <v>0</v>
      </c>
      <c r="K925" s="39"/>
      <c r="L925" s="39"/>
      <c r="M925" s="39"/>
      <c r="N925" s="39"/>
      <c r="O925" s="39"/>
      <c r="P925" s="39"/>
      <c r="Q925" s="39"/>
      <c r="R925" s="39"/>
      <c r="S925" s="39"/>
      <c r="T925" s="39"/>
    </row>
    <row r="926" spans="1:20" ht="15.75">
      <c r="A926" s="13">
        <v>69337</v>
      </c>
      <c r="B926" s="47">
        <f t="shared" si="5"/>
        <v>31</v>
      </c>
      <c r="C926" s="38">
        <v>131.881</v>
      </c>
      <c r="D926" s="38">
        <v>277.16699999999997</v>
      </c>
      <c r="E926" s="44">
        <v>829.952</v>
      </c>
      <c r="F926" s="38">
        <v>1239</v>
      </c>
      <c r="G926" s="38">
        <v>75</v>
      </c>
      <c r="H926" s="46">
        <v>600</v>
      </c>
      <c r="I926" s="38">
        <v>695</v>
      </c>
      <c r="J926" s="38">
        <v>0</v>
      </c>
      <c r="K926" s="39"/>
      <c r="L926" s="39"/>
      <c r="M926" s="39"/>
      <c r="N926" s="39"/>
      <c r="O926" s="39"/>
      <c r="P926" s="39"/>
      <c r="Q926" s="39"/>
      <c r="R926" s="39"/>
      <c r="S926" s="39"/>
      <c r="T926" s="39"/>
    </row>
    <row r="927" spans="1:20" ht="15.75">
      <c r="A927" s="13">
        <v>69367</v>
      </c>
      <c r="B927" s="47">
        <f t="shared" si="5"/>
        <v>30</v>
      </c>
      <c r="C927" s="38">
        <v>122.58</v>
      </c>
      <c r="D927" s="38">
        <v>297.94099999999997</v>
      </c>
      <c r="E927" s="44">
        <v>729.47900000000004</v>
      </c>
      <c r="F927" s="38">
        <v>1150</v>
      </c>
      <c r="G927" s="38">
        <v>100</v>
      </c>
      <c r="H927" s="46">
        <v>600</v>
      </c>
      <c r="I927" s="38">
        <v>695</v>
      </c>
      <c r="J927" s="38">
        <v>50</v>
      </c>
      <c r="K927" s="39"/>
      <c r="L927" s="39"/>
      <c r="M927" s="39"/>
      <c r="N927" s="39"/>
      <c r="O927" s="39"/>
      <c r="P927" s="39"/>
      <c r="Q927" s="39"/>
      <c r="R927" s="39"/>
      <c r="S927" s="39"/>
      <c r="T927" s="39"/>
    </row>
    <row r="928" spans="1:20" ht="15.75">
      <c r="A928" s="13">
        <v>69398</v>
      </c>
      <c r="B928" s="47">
        <f t="shared" si="5"/>
        <v>31</v>
      </c>
      <c r="C928" s="38">
        <v>122.58</v>
      </c>
      <c r="D928" s="38">
        <v>297.94099999999997</v>
      </c>
      <c r="E928" s="44">
        <v>729.47900000000004</v>
      </c>
      <c r="F928" s="38">
        <v>1150</v>
      </c>
      <c r="G928" s="38">
        <v>100</v>
      </c>
      <c r="H928" s="46">
        <v>600</v>
      </c>
      <c r="I928" s="38">
        <v>695</v>
      </c>
      <c r="J928" s="38">
        <v>50</v>
      </c>
      <c r="K928" s="39"/>
      <c r="L928" s="39"/>
      <c r="M928" s="39"/>
      <c r="N928" s="39"/>
      <c r="O928" s="39"/>
      <c r="P928" s="39"/>
      <c r="Q928" s="39"/>
      <c r="R928" s="39"/>
      <c r="S928" s="39"/>
      <c r="T928" s="39"/>
    </row>
    <row r="929" spans="1:20" ht="15.75">
      <c r="A929" s="13">
        <v>69429</v>
      </c>
      <c r="B929" s="47">
        <f t="shared" si="5"/>
        <v>31</v>
      </c>
      <c r="C929" s="38">
        <v>122.58</v>
      </c>
      <c r="D929" s="38">
        <v>297.94099999999997</v>
      </c>
      <c r="E929" s="44">
        <v>729.47900000000004</v>
      </c>
      <c r="F929" s="38">
        <v>1150</v>
      </c>
      <c r="G929" s="38">
        <v>100</v>
      </c>
      <c r="H929" s="46">
        <v>600</v>
      </c>
      <c r="I929" s="38">
        <v>695</v>
      </c>
      <c r="J929" s="38">
        <v>50</v>
      </c>
      <c r="K929" s="39"/>
      <c r="L929" s="39"/>
      <c r="M929" s="39"/>
      <c r="N929" s="39"/>
      <c r="O929" s="39"/>
      <c r="P929" s="39"/>
      <c r="Q929" s="39"/>
      <c r="R929" s="39"/>
      <c r="S929" s="39"/>
      <c r="T929" s="39"/>
    </row>
    <row r="930" spans="1:20" ht="15.75">
      <c r="A930" s="13">
        <v>69457</v>
      </c>
      <c r="B930" s="47">
        <f t="shared" si="5"/>
        <v>28</v>
      </c>
      <c r="C930" s="38">
        <v>122.58</v>
      </c>
      <c r="D930" s="38">
        <v>297.94099999999997</v>
      </c>
      <c r="E930" s="44">
        <v>729.47900000000004</v>
      </c>
      <c r="F930" s="38">
        <v>1150</v>
      </c>
      <c r="G930" s="38">
        <v>100</v>
      </c>
      <c r="H930" s="46">
        <v>600</v>
      </c>
      <c r="I930" s="38">
        <v>695</v>
      </c>
      <c r="J930" s="38">
        <v>50</v>
      </c>
      <c r="K930" s="39"/>
      <c r="L930" s="39"/>
      <c r="M930" s="39"/>
      <c r="N930" s="39"/>
      <c r="O930" s="39"/>
      <c r="P930" s="39"/>
      <c r="Q930" s="39"/>
      <c r="R930" s="39"/>
      <c r="S930" s="39"/>
      <c r="T930" s="39"/>
    </row>
    <row r="931" spans="1:20" ht="15.75">
      <c r="A931" s="13">
        <v>69488</v>
      </c>
      <c r="B931" s="47">
        <f t="shared" si="5"/>
        <v>31</v>
      </c>
      <c r="C931" s="38">
        <v>122.58</v>
      </c>
      <c r="D931" s="38">
        <v>297.94099999999997</v>
      </c>
      <c r="E931" s="44">
        <v>729.47900000000004</v>
      </c>
      <c r="F931" s="38">
        <v>1150</v>
      </c>
      <c r="G931" s="38">
        <v>100</v>
      </c>
      <c r="H931" s="46">
        <v>600</v>
      </c>
      <c r="I931" s="38">
        <v>695</v>
      </c>
      <c r="J931" s="38">
        <v>50</v>
      </c>
      <c r="K931" s="39"/>
      <c r="L931" s="39"/>
      <c r="M931" s="39"/>
      <c r="N931" s="39"/>
      <c r="O931" s="39"/>
      <c r="P931" s="39"/>
      <c r="Q931" s="39"/>
      <c r="R931" s="39"/>
      <c r="S931" s="39"/>
      <c r="T931" s="39"/>
    </row>
    <row r="932" spans="1:20" ht="15.75">
      <c r="A932" s="13">
        <v>69518</v>
      </c>
      <c r="B932" s="47">
        <f t="shared" si="5"/>
        <v>30</v>
      </c>
      <c r="C932" s="38">
        <v>141.29300000000001</v>
      </c>
      <c r="D932" s="38">
        <v>267.99299999999999</v>
      </c>
      <c r="E932" s="44">
        <v>829.71400000000006</v>
      </c>
      <c r="F932" s="38">
        <v>1239</v>
      </c>
      <c r="G932" s="38">
        <v>100</v>
      </c>
      <c r="H932" s="46">
        <v>600</v>
      </c>
      <c r="I932" s="38">
        <v>695</v>
      </c>
      <c r="J932" s="38">
        <v>50</v>
      </c>
      <c r="K932" s="39"/>
      <c r="L932" s="39"/>
      <c r="M932" s="39"/>
      <c r="N932" s="39"/>
      <c r="O932" s="39"/>
      <c r="P932" s="39"/>
      <c r="Q932" s="39"/>
      <c r="R932" s="39"/>
      <c r="S932" s="39"/>
      <c r="T932" s="39"/>
    </row>
    <row r="933" spans="1:20" ht="15.75">
      <c r="A933" s="13">
        <v>69549</v>
      </c>
      <c r="B933" s="47">
        <f t="shared" si="5"/>
        <v>31</v>
      </c>
      <c r="C933" s="38">
        <v>194.20500000000001</v>
      </c>
      <c r="D933" s="38">
        <v>267.46600000000001</v>
      </c>
      <c r="E933" s="44">
        <v>812.32899999999995</v>
      </c>
      <c r="F933" s="38">
        <v>1274</v>
      </c>
      <c r="G933" s="38">
        <v>75</v>
      </c>
      <c r="H933" s="46">
        <v>600</v>
      </c>
      <c r="I933" s="38">
        <v>695</v>
      </c>
      <c r="J933" s="38">
        <v>50</v>
      </c>
      <c r="K933" s="39"/>
      <c r="L933" s="39"/>
      <c r="M933" s="39"/>
      <c r="N933" s="39"/>
      <c r="O933" s="39"/>
      <c r="P933" s="39"/>
      <c r="Q933" s="39"/>
      <c r="R933" s="39"/>
      <c r="S933" s="39"/>
      <c r="T933" s="39"/>
    </row>
    <row r="934" spans="1:20" ht="15.75">
      <c r="A934" s="13">
        <v>69579</v>
      </c>
      <c r="B934" s="47">
        <f t="shared" si="5"/>
        <v>30</v>
      </c>
      <c r="C934" s="38">
        <v>194.20500000000001</v>
      </c>
      <c r="D934" s="38">
        <v>267.46600000000001</v>
      </c>
      <c r="E934" s="44">
        <v>812.32899999999995</v>
      </c>
      <c r="F934" s="38">
        <v>1274</v>
      </c>
      <c r="G934" s="38">
        <v>50</v>
      </c>
      <c r="H934" s="46">
        <v>600</v>
      </c>
      <c r="I934" s="38">
        <v>695</v>
      </c>
      <c r="J934" s="38">
        <v>50</v>
      </c>
      <c r="K934" s="39"/>
      <c r="L934" s="39"/>
      <c r="M934" s="39"/>
      <c r="N934" s="39"/>
      <c r="O934" s="39"/>
      <c r="P934" s="39"/>
      <c r="Q934" s="39"/>
      <c r="R934" s="39"/>
      <c r="S934" s="39"/>
      <c r="T934" s="39"/>
    </row>
    <row r="935" spans="1:20" ht="15.75">
      <c r="A935" s="13">
        <v>69610</v>
      </c>
      <c r="B935" s="47">
        <f t="shared" si="5"/>
        <v>31</v>
      </c>
      <c r="C935" s="38">
        <v>194.20500000000001</v>
      </c>
      <c r="D935" s="38">
        <v>267.46600000000001</v>
      </c>
      <c r="E935" s="44">
        <v>812.32899999999995</v>
      </c>
      <c r="F935" s="38">
        <v>1274</v>
      </c>
      <c r="G935" s="38">
        <v>50</v>
      </c>
      <c r="H935" s="46">
        <v>600</v>
      </c>
      <c r="I935" s="38">
        <v>695</v>
      </c>
      <c r="J935" s="38">
        <v>0</v>
      </c>
      <c r="K935" s="39"/>
      <c r="L935" s="39"/>
      <c r="M935" s="39"/>
      <c r="N935" s="39"/>
      <c r="O935" s="39"/>
      <c r="P935" s="39"/>
      <c r="Q935" s="39"/>
      <c r="R935" s="39"/>
      <c r="S935" s="39"/>
      <c r="T935" s="39"/>
    </row>
    <row r="936" spans="1:20" ht="15.75">
      <c r="A936" s="13">
        <v>69641</v>
      </c>
      <c r="B936" s="47">
        <f t="shared" si="5"/>
        <v>31</v>
      </c>
      <c r="C936" s="38">
        <v>194.20500000000001</v>
      </c>
      <c r="D936" s="38">
        <v>267.46600000000001</v>
      </c>
      <c r="E936" s="44">
        <v>812.32899999999995</v>
      </c>
      <c r="F936" s="38">
        <v>1274</v>
      </c>
      <c r="G936" s="38">
        <v>50</v>
      </c>
      <c r="H936" s="46">
        <v>600</v>
      </c>
      <c r="I936" s="38">
        <v>695</v>
      </c>
      <c r="J936" s="38">
        <v>0</v>
      </c>
      <c r="K936" s="39"/>
      <c r="L936" s="39"/>
      <c r="M936" s="39"/>
      <c r="N936" s="39"/>
      <c r="O936" s="39"/>
      <c r="P936" s="39"/>
      <c r="Q936" s="39"/>
      <c r="R936" s="39"/>
      <c r="S936" s="39"/>
      <c r="T936" s="39"/>
    </row>
    <row r="937" spans="1:20" ht="15.75">
      <c r="A937" s="13">
        <v>69671</v>
      </c>
      <c r="B937" s="47">
        <f t="shared" si="5"/>
        <v>30</v>
      </c>
      <c r="C937" s="38">
        <v>194.20500000000001</v>
      </c>
      <c r="D937" s="38">
        <v>267.46600000000001</v>
      </c>
      <c r="E937" s="44">
        <v>812.32899999999995</v>
      </c>
      <c r="F937" s="38">
        <v>1274</v>
      </c>
      <c r="G937" s="38">
        <v>50</v>
      </c>
      <c r="H937" s="46">
        <v>600</v>
      </c>
      <c r="I937" s="38">
        <v>695</v>
      </c>
      <c r="J937" s="38">
        <v>0</v>
      </c>
      <c r="K937" s="39"/>
      <c r="L937" s="39"/>
      <c r="M937" s="39"/>
      <c r="N937" s="39"/>
      <c r="O937" s="39"/>
      <c r="P937" s="39"/>
      <c r="Q937" s="39"/>
      <c r="R937" s="39"/>
      <c r="S937" s="39"/>
      <c r="T937" s="39"/>
    </row>
    <row r="938" spans="1:20" ht="15.75">
      <c r="A938" s="13">
        <v>69702</v>
      </c>
      <c r="B938" s="47">
        <f t="shared" si="5"/>
        <v>31</v>
      </c>
      <c r="C938" s="38">
        <v>131.881</v>
      </c>
      <c r="D938" s="38">
        <v>277.16699999999997</v>
      </c>
      <c r="E938" s="44">
        <v>829.952</v>
      </c>
      <c r="F938" s="38">
        <v>1239</v>
      </c>
      <c r="G938" s="38">
        <v>75</v>
      </c>
      <c r="H938" s="46">
        <v>600</v>
      </c>
      <c r="I938" s="38">
        <v>695</v>
      </c>
      <c r="J938" s="38">
        <v>0</v>
      </c>
      <c r="K938" s="39"/>
      <c r="L938" s="39"/>
      <c r="M938" s="39"/>
      <c r="N938" s="39"/>
      <c r="O938" s="39"/>
      <c r="P938" s="39"/>
      <c r="Q938" s="39"/>
      <c r="R938" s="39"/>
      <c r="S938" s="39"/>
      <c r="T938" s="39"/>
    </row>
    <row r="939" spans="1:20" ht="15.75">
      <c r="A939" s="13">
        <v>69732</v>
      </c>
      <c r="B939" s="47">
        <f t="shared" si="5"/>
        <v>30</v>
      </c>
      <c r="C939" s="38">
        <v>122.58</v>
      </c>
      <c r="D939" s="38">
        <v>297.94099999999997</v>
      </c>
      <c r="E939" s="44">
        <v>729.47900000000004</v>
      </c>
      <c r="F939" s="38">
        <v>1150</v>
      </c>
      <c r="G939" s="38">
        <v>100</v>
      </c>
      <c r="H939" s="46">
        <v>600</v>
      </c>
      <c r="I939" s="38">
        <v>695</v>
      </c>
      <c r="J939" s="38">
        <v>50</v>
      </c>
      <c r="K939" s="39"/>
      <c r="L939" s="39"/>
      <c r="M939" s="39"/>
      <c r="N939" s="39"/>
      <c r="O939" s="39"/>
      <c r="P939" s="39"/>
      <c r="Q939" s="39"/>
      <c r="R939" s="39"/>
      <c r="S939" s="39"/>
      <c r="T939" s="39"/>
    </row>
    <row r="940" spans="1:20" ht="15.75">
      <c r="A940" s="13">
        <v>69763</v>
      </c>
      <c r="B940" s="47">
        <f t="shared" si="5"/>
        <v>31</v>
      </c>
      <c r="C940" s="38">
        <v>122.58</v>
      </c>
      <c r="D940" s="38">
        <v>297.94099999999997</v>
      </c>
      <c r="E940" s="44">
        <v>729.47900000000004</v>
      </c>
      <c r="F940" s="38">
        <v>1150</v>
      </c>
      <c r="G940" s="38">
        <v>100</v>
      </c>
      <c r="H940" s="46">
        <v>600</v>
      </c>
      <c r="I940" s="38">
        <v>695</v>
      </c>
      <c r="J940" s="38">
        <v>50</v>
      </c>
      <c r="K940" s="39"/>
      <c r="L940" s="39"/>
      <c r="M940" s="39"/>
      <c r="N940" s="39"/>
      <c r="O940" s="39"/>
      <c r="P940" s="39"/>
      <c r="Q940" s="39"/>
      <c r="R940" s="39"/>
      <c r="S940" s="39"/>
      <c r="T940" s="39"/>
    </row>
    <row r="941" spans="1:20" ht="15.75">
      <c r="A941" s="13">
        <v>69794</v>
      </c>
      <c r="B941" s="47">
        <f t="shared" si="5"/>
        <v>31</v>
      </c>
      <c r="C941" s="38">
        <v>122.58</v>
      </c>
      <c r="D941" s="38">
        <v>297.94099999999997</v>
      </c>
      <c r="E941" s="44">
        <v>729.47900000000004</v>
      </c>
      <c r="F941" s="38">
        <v>1150</v>
      </c>
      <c r="G941" s="38">
        <v>100</v>
      </c>
      <c r="H941" s="46">
        <v>600</v>
      </c>
      <c r="I941" s="38">
        <v>695</v>
      </c>
      <c r="J941" s="38">
        <v>50</v>
      </c>
      <c r="K941" s="39"/>
      <c r="L941" s="39"/>
      <c r="M941" s="39"/>
      <c r="N941" s="39"/>
      <c r="O941" s="39"/>
      <c r="P941" s="39"/>
      <c r="Q941" s="39"/>
      <c r="R941" s="39"/>
      <c r="S941" s="39"/>
      <c r="T941" s="39"/>
    </row>
    <row r="942" spans="1:20" ht="15.75">
      <c r="A942" s="13">
        <v>69822</v>
      </c>
      <c r="B942" s="47">
        <f t="shared" si="5"/>
        <v>28</v>
      </c>
      <c r="C942" s="38">
        <v>122.58</v>
      </c>
      <c r="D942" s="38">
        <v>297.94099999999997</v>
      </c>
      <c r="E942" s="44">
        <v>729.47900000000004</v>
      </c>
      <c r="F942" s="38">
        <v>1150</v>
      </c>
      <c r="G942" s="38">
        <v>100</v>
      </c>
      <c r="H942" s="46">
        <v>600</v>
      </c>
      <c r="I942" s="38">
        <v>695</v>
      </c>
      <c r="J942" s="38">
        <v>50</v>
      </c>
      <c r="K942" s="39"/>
      <c r="L942" s="39"/>
      <c r="M942" s="39"/>
      <c r="N942" s="39"/>
      <c r="O942" s="39"/>
      <c r="P942" s="39"/>
      <c r="Q942" s="39"/>
      <c r="R942" s="39"/>
      <c r="S942" s="39"/>
      <c r="T942" s="39"/>
    </row>
    <row r="943" spans="1:20" ht="15.75">
      <c r="A943" s="13">
        <v>69853</v>
      </c>
      <c r="B943" s="47">
        <f t="shared" si="5"/>
        <v>31</v>
      </c>
      <c r="C943" s="38">
        <v>122.58</v>
      </c>
      <c r="D943" s="38">
        <v>297.94099999999997</v>
      </c>
      <c r="E943" s="44">
        <v>729.47900000000004</v>
      </c>
      <c r="F943" s="38">
        <v>1150</v>
      </c>
      <c r="G943" s="38">
        <v>100</v>
      </c>
      <c r="H943" s="46">
        <v>600</v>
      </c>
      <c r="I943" s="38">
        <v>695</v>
      </c>
      <c r="J943" s="38">
        <v>50</v>
      </c>
      <c r="K943" s="39"/>
      <c r="L943" s="39"/>
      <c r="M943" s="39"/>
      <c r="N943" s="39"/>
      <c r="O943" s="39"/>
      <c r="P943" s="39"/>
      <c r="Q943" s="39"/>
      <c r="R943" s="39"/>
      <c r="S943" s="39"/>
      <c r="T943" s="39"/>
    </row>
    <row r="944" spans="1:20" ht="15.75">
      <c r="A944" s="13">
        <v>69883</v>
      </c>
      <c r="B944" s="47">
        <f t="shared" si="5"/>
        <v>30</v>
      </c>
      <c r="C944" s="38">
        <v>141.29300000000001</v>
      </c>
      <c r="D944" s="38">
        <v>267.99299999999999</v>
      </c>
      <c r="E944" s="44">
        <v>829.71400000000006</v>
      </c>
      <c r="F944" s="38">
        <v>1239</v>
      </c>
      <c r="G944" s="38">
        <v>100</v>
      </c>
      <c r="H944" s="46">
        <v>600</v>
      </c>
      <c r="I944" s="38">
        <v>695</v>
      </c>
      <c r="J944" s="38">
        <v>50</v>
      </c>
      <c r="K944" s="39"/>
      <c r="L944" s="39"/>
      <c r="M944" s="39"/>
      <c r="N944" s="39"/>
      <c r="O944" s="39"/>
      <c r="P944" s="39"/>
      <c r="Q944" s="39"/>
      <c r="R944" s="39"/>
      <c r="S944" s="39"/>
      <c r="T944" s="39"/>
    </row>
    <row r="945" spans="1:20" ht="15.75">
      <c r="A945" s="13">
        <v>69914</v>
      </c>
      <c r="B945" s="47">
        <f t="shared" si="5"/>
        <v>31</v>
      </c>
      <c r="C945" s="38">
        <v>194.20500000000001</v>
      </c>
      <c r="D945" s="38">
        <v>267.46600000000001</v>
      </c>
      <c r="E945" s="44">
        <v>812.32899999999995</v>
      </c>
      <c r="F945" s="38">
        <v>1274</v>
      </c>
      <c r="G945" s="38">
        <v>75</v>
      </c>
      <c r="H945" s="46">
        <v>600</v>
      </c>
      <c r="I945" s="38">
        <v>695</v>
      </c>
      <c r="J945" s="38">
        <v>50</v>
      </c>
      <c r="K945" s="39"/>
      <c r="L945" s="39"/>
      <c r="M945" s="39"/>
      <c r="N945" s="39"/>
      <c r="O945" s="39"/>
      <c r="P945" s="39"/>
      <c r="Q945" s="39"/>
      <c r="R945" s="39"/>
      <c r="S945" s="39"/>
      <c r="T945" s="39"/>
    </row>
    <row r="946" spans="1:20" ht="15.75">
      <c r="A946" s="13">
        <v>69944</v>
      </c>
      <c r="B946" s="47">
        <f t="shared" si="5"/>
        <v>30</v>
      </c>
      <c r="C946" s="38">
        <v>194.20500000000001</v>
      </c>
      <c r="D946" s="38">
        <v>267.46600000000001</v>
      </c>
      <c r="E946" s="44">
        <v>812.32899999999995</v>
      </c>
      <c r="F946" s="38">
        <v>1274</v>
      </c>
      <c r="G946" s="38">
        <v>50</v>
      </c>
      <c r="H946" s="46">
        <v>600</v>
      </c>
      <c r="I946" s="38">
        <v>695</v>
      </c>
      <c r="J946" s="38">
        <v>50</v>
      </c>
      <c r="K946" s="39"/>
      <c r="L946" s="39"/>
      <c r="M946" s="39"/>
      <c r="N946" s="39"/>
      <c r="O946" s="39"/>
      <c r="P946" s="39"/>
      <c r="Q946" s="39"/>
      <c r="R946" s="39"/>
      <c r="S946" s="39"/>
      <c r="T946" s="39"/>
    </row>
    <row r="947" spans="1:20" ht="15.75">
      <c r="A947" s="13">
        <v>69975</v>
      </c>
      <c r="B947" s="47">
        <f t="shared" si="5"/>
        <v>31</v>
      </c>
      <c r="C947" s="38">
        <v>194.20500000000001</v>
      </c>
      <c r="D947" s="38">
        <v>267.46600000000001</v>
      </c>
      <c r="E947" s="44">
        <v>812.32899999999995</v>
      </c>
      <c r="F947" s="38">
        <v>1274</v>
      </c>
      <c r="G947" s="38">
        <v>50</v>
      </c>
      <c r="H947" s="46">
        <v>600</v>
      </c>
      <c r="I947" s="38">
        <v>695</v>
      </c>
      <c r="J947" s="38">
        <v>0</v>
      </c>
      <c r="K947" s="39"/>
      <c r="L947" s="39"/>
      <c r="M947" s="39"/>
      <c r="N947" s="39"/>
      <c r="O947" s="39"/>
      <c r="P947" s="39"/>
      <c r="Q947" s="39"/>
      <c r="R947" s="39"/>
      <c r="S947" s="39"/>
      <c r="T947" s="39"/>
    </row>
    <row r="948" spans="1:20" ht="15.75">
      <c r="A948" s="13">
        <v>70006</v>
      </c>
      <c r="B948" s="47">
        <f t="shared" si="5"/>
        <v>31</v>
      </c>
      <c r="C948" s="38">
        <v>194.20500000000001</v>
      </c>
      <c r="D948" s="38">
        <v>267.46600000000001</v>
      </c>
      <c r="E948" s="44">
        <v>812.32899999999995</v>
      </c>
      <c r="F948" s="38">
        <v>1274</v>
      </c>
      <c r="G948" s="38">
        <v>50</v>
      </c>
      <c r="H948" s="46">
        <v>600</v>
      </c>
      <c r="I948" s="38">
        <v>695</v>
      </c>
      <c r="J948" s="38">
        <v>0</v>
      </c>
      <c r="K948" s="39"/>
      <c r="L948" s="39"/>
      <c r="M948" s="39"/>
      <c r="N948" s="39"/>
      <c r="O948" s="39"/>
      <c r="P948" s="39"/>
      <c r="Q948" s="39"/>
      <c r="R948" s="39"/>
      <c r="S948" s="39"/>
      <c r="T948" s="39"/>
    </row>
    <row r="949" spans="1:20" ht="15.75">
      <c r="A949" s="13">
        <v>70036</v>
      </c>
      <c r="B949" s="47">
        <f t="shared" si="5"/>
        <v>30</v>
      </c>
      <c r="C949" s="38">
        <v>194.20500000000001</v>
      </c>
      <c r="D949" s="38">
        <v>267.46600000000001</v>
      </c>
      <c r="E949" s="44">
        <v>812.32899999999995</v>
      </c>
      <c r="F949" s="38">
        <v>1274</v>
      </c>
      <c r="G949" s="38">
        <v>50</v>
      </c>
      <c r="H949" s="46">
        <v>600</v>
      </c>
      <c r="I949" s="38">
        <v>695</v>
      </c>
      <c r="J949" s="38">
        <v>0</v>
      </c>
      <c r="K949" s="39"/>
      <c r="L949" s="39"/>
      <c r="M949" s="39"/>
      <c r="N949" s="39"/>
      <c r="O949" s="39"/>
      <c r="P949" s="39"/>
      <c r="Q949" s="39"/>
      <c r="R949" s="39"/>
      <c r="S949" s="39"/>
      <c r="T949" s="39"/>
    </row>
    <row r="950" spans="1:20" ht="15.75">
      <c r="A950" s="13">
        <v>70067</v>
      </c>
      <c r="B950" s="47">
        <f t="shared" si="5"/>
        <v>31</v>
      </c>
      <c r="C950" s="38">
        <v>131.881</v>
      </c>
      <c r="D950" s="38">
        <v>277.16699999999997</v>
      </c>
      <c r="E950" s="44">
        <v>829.952</v>
      </c>
      <c r="F950" s="38">
        <v>1239</v>
      </c>
      <c r="G950" s="38">
        <v>75</v>
      </c>
      <c r="H950" s="46">
        <v>600</v>
      </c>
      <c r="I950" s="38">
        <v>695</v>
      </c>
      <c r="J950" s="38">
        <v>0</v>
      </c>
      <c r="K950" s="39"/>
      <c r="L950" s="39"/>
      <c r="M950" s="39"/>
      <c r="N950" s="39"/>
      <c r="O950" s="39"/>
      <c r="P950" s="39"/>
      <c r="Q950" s="39"/>
      <c r="R950" s="39"/>
      <c r="S950" s="39"/>
      <c r="T950" s="39"/>
    </row>
    <row r="951" spans="1:20" ht="15.75">
      <c r="A951" s="13">
        <v>70097</v>
      </c>
      <c r="B951" s="47">
        <f t="shared" si="5"/>
        <v>30</v>
      </c>
      <c r="C951" s="38">
        <v>122.58</v>
      </c>
      <c r="D951" s="38">
        <v>297.94099999999997</v>
      </c>
      <c r="E951" s="44">
        <v>729.47900000000004</v>
      </c>
      <c r="F951" s="38">
        <v>1150</v>
      </c>
      <c r="G951" s="38">
        <v>100</v>
      </c>
      <c r="H951" s="46">
        <v>600</v>
      </c>
      <c r="I951" s="38">
        <v>695</v>
      </c>
      <c r="J951" s="38">
        <v>50</v>
      </c>
      <c r="K951" s="39"/>
      <c r="L951" s="39"/>
      <c r="M951" s="39"/>
      <c r="N951" s="39"/>
      <c r="O951" s="39"/>
      <c r="P951" s="39"/>
      <c r="Q951" s="39"/>
      <c r="R951" s="39"/>
      <c r="S951" s="39"/>
      <c r="T951" s="39"/>
    </row>
    <row r="952" spans="1:20" ht="15.75">
      <c r="A952" s="13">
        <v>70128</v>
      </c>
      <c r="B952" s="47">
        <f t="shared" si="5"/>
        <v>31</v>
      </c>
      <c r="C952" s="38">
        <v>122.58</v>
      </c>
      <c r="D952" s="38">
        <v>297.94099999999997</v>
      </c>
      <c r="E952" s="44">
        <v>729.47900000000004</v>
      </c>
      <c r="F952" s="38">
        <v>1150</v>
      </c>
      <c r="G952" s="38">
        <v>100</v>
      </c>
      <c r="H952" s="46">
        <v>600</v>
      </c>
      <c r="I952" s="38">
        <v>695</v>
      </c>
      <c r="J952" s="38">
        <v>50</v>
      </c>
      <c r="K952" s="39"/>
      <c r="L952" s="39"/>
      <c r="M952" s="39"/>
      <c r="N952" s="39"/>
      <c r="O952" s="39"/>
      <c r="P952" s="39"/>
      <c r="Q952" s="39"/>
      <c r="R952" s="39"/>
      <c r="S952" s="39"/>
      <c r="T952" s="39"/>
    </row>
    <row r="953" spans="1:20" ht="15.75">
      <c r="A953" s="13">
        <v>70159</v>
      </c>
      <c r="B953" s="47">
        <f t="shared" si="5"/>
        <v>31</v>
      </c>
      <c r="C953" s="38">
        <v>122.58</v>
      </c>
      <c r="D953" s="38">
        <v>297.94099999999997</v>
      </c>
      <c r="E953" s="44">
        <v>729.47900000000004</v>
      </c>
      <c r="F953" s="38">
        <v>1150</v>
      </c>
      <c r="G953" s="38">
        <v>100</v>
      </c>
      <c r="H953" s="46">
        <v>600</v>
      </c>
      <c r="I953" s="38">
        <v>695</v>
      </c>
      <c r="J953" s="38">
        <v>50</v>
      </c>
      <c r="K953" s="39"/>
      <c r="L953" s="39"/>
      <c r="M953" s="39"/>
      <c r="N953" s="39"/>
      <c r="O953" s="39"/>
      <c r="P953" s="39"/>
      <c r="Q953" s="39"/>
      <c r="R953" s="39"/>
      <c r="S953" s="39"/>
      <c r="T953" s="39"/>
    </row>
    <row r="954" spans="1:20" ht="15.75">
      <c r="A954" s="13">
        <v>70188</v>
      </c>
      <c r="B954" s="47">
        <f t="shared" si="5"/>
        <v>29</v>
      </c>
      <c r="C954" s="38">
        <v>122.58</v>
      </c>
      <c r="D954" s="38">
        <v>297.94099999999997</v>
      </c>
      <c r="E954" s="44">
        <v>729.47900000000004</v>
      </c>
      <c r="F954" s="38">
        <v>1150</v>
      </c>
      <c r="G954" s="38">
        <v>100</v>
      </c>
      <c r="H954" s="46">
        <v>600</v>
      </c>
      <c r="I954" s="38">
        <v>695</v>
      </c>
      <c r="J954" s="38">
        <v>50</v>
      </c>
      <c r="K954" s="39"/>
      <c r="L954" s="39"/>
      <c r="M954" s="39"/>
      <c r="N954" s="39"/>
      <c r="O954" s="39"/>
      <c r="P954" s="39"/>
      <c r="Q954" s="39"/>
      <c r="R954" s="39"/>
      <c r="S954" s="39"/>
      <c r="T954" s="39"/>
    </row>
    <row r="955" spans="1:20" ht="15.75">
      <c r="A955" s="13">
        <v>70219</v>
      </c>
      <c r="B955" s="47">
        <f t="shared" si="5"/>
        <v>31</v>
      </c>
      <c r="C955" s="38">
        <v>122.58</v>
      </c>
      <c r="D955" s="38">
        <v>297.94099999999997</v>
      </c>
      <c r="E955" s="44">
        <v>729.47900000000004</v>
      </c>
      <c r="F955" s="38">
        <v>1150</v>
      </c>
      <c r="G955" s="38">
        <v>100</v>
      </c>
      <c r="H955" s="46">
        <v>600</v>
      </c>
      <c r="I955" s="38">
        <v>695</v>
      </c>
      <c r="J955" s="38">
        <v>50</v>
      </c>
      <c r="K955" s="39"/>
      <c r="L955" s="39"/>
      <c r="M955" s="39"/>
      <c r="N955" s="39"/>
      <c r="O955" s="39"/>
      <c r="P955" s="39"/>
      <c r="Q955" s="39"/>
      <c r="R955" s="39"/>
      <c r="S955" s="39"/>
      <c r="T955" s="39"/>
    </row>
    <row r="956" spans="1:20" ht="15.75">
      <c r="A956" s="13">
        <v>70249</v>
      </c>
      <c r="B956" s="47">
        <f t="shared" si="5"/>
        <v>30</v>
      </c>
      <c r="C956" s="38">
        <v>141.29300000000001</v>
      </c>
      <c r="D956" s="38">
        <v>267.99299999999999</v>
      </c>
      <c r="E956" s="44">
        <v>829.71400000000006</v>
      </c>
      <c r="F956" s="38">
        <v>1239</v>
      </c>
      <c r="G956" s="38">
        <v>100</v>
      </c>
      <c r="H956" s="46">
        <v>600</v>
      </c>
      <c r="I956" s="38">
        <v>695</v>
      </c>
      <c r="J956" s="38">
        <v>50</v>
      </c>
      <c r="K956" s="39"/>
      <c r="L956" s="39"/>
      <c r="M956" s="39"/>
      <c r="N956" s="39"/>
      <c r="O956" s="39"/>
      <c r="P956" s="39"/>
      <c r="Q956" s="39"/>
      <c r="R956" s="39"/>
      <c r="S956" s="39"/>
      <c r="T956" s="39"/>
    </row>
    <row r="957" spans="1:20" ht="15.75">
      <c r="A957" s="13">
        <v>70280</v>
      </c>
      <c r="B957" s="47">
        <f t="shared" si="5"/>
        <v>31</v>
      </c>
      <c r="C957" s="38">
        <v>194.20500000000001</v>
      </c>
      <c r="D957" s="38">
        <v>267.46600000000001</v>
      </c>
      <c r="E957" s="44">
        <v>812.32899999999995</v>
      </c>
      <c r="F957" s="38">
        <v>1274</v>
      </c>
      <c r="G957" s="38">
        <v>75</v>
      </c>
      <c r="H957" s="46">
        <v>600</v>
      </c>
      <c r="I957" s="38">
        <v>695</v>
      </c>
      <c r="J957" s="38">
        <v>50</v>
      </c>
      <c r="K957" s="39"/>
      <c r="L957" s="39"/>
      <c r="M957" s="39"/>
      <c r="N957" s="39"/>
      <c r="O957" s="39"/>
      <c r="P957" s="39"/>
      <c r="Q957" s="39"/>
      <c r="R957" s="39"/>
      <c r="S957" s="39"/>
      <c r="T957" s="39"/>
    </row>
    <row r="958" spans="1:20" ht="15.75">
      <c r="A958" s="13">
        <v>70310</v>
      </c>
      <c r="B958" s="47">
        <f t="shared" si="5"/>
        <v>30</v>
      </c>
      <c r="C958" s="38">
        <v>194.20500000000001</v>
      </c>
      <c r="D958" s="38">
        <v>267.46600000000001</v>
      </c>
      <c r="E958" s="44">
        <v>812.32899999999995</v>
      </c>
      <c r="F958" s="38">
        <v>1274</v>
      </c>
      <c r="G958" s="38">
        <v>50</v>
      </c>
      <c r="H958" s="46">
        <v>600</v>
      </c>
      <c r="I958" s="38">
        <v>695</v>
      </c>
      <c r="J958" s="38">
        <v>50</v>
      </c>
      <c r="K958" s="39"/>
      <c r="L958" s="39"/>
      <c r="M958" s="39"/>
      <c r="N958" s="39"/>
      <c r="O958" s="39"/>
      <c r="P958" s="39"/>
      <c r="Q958" s="39"/>
      <c r="R958" s="39"/>
      <c r="S958" s="39"/>
      <c r="T958" s="39"/>
    </row>
    <row r="959" spans="1:20" ht="15.75">
      <c r="A959" s="13">
        <v>70341</v>
      </c>
      <c r="B959" s="47">
        <f t="shared" si="5"/>
        <v>31</v>
      </c>
      <c r="C959" s="38">
        <v>194.20500000000001</v>
      </c>
      <c r="D959" s="38">
        <v>267.46600000000001</v>
      </c>
      <c r="E959" s="44">
        <v>812.32899999999995</v>
      </c>
      <c r="F959" s="38">
        <v>1274</v>
      </c>
      <c r="G959" s="38">
        <v>50</v>
      </c>
      <c r="H959" s="46">
        <v>600</v>
      </c>
      <c r="I959" s="38">
        <v>695</v>
      </c>
      <c r="J959" s="38">
        <v>0</v>
      </c>
      <c r="K959" s="39"/>
      <c r="L959" s="39"/>
      <c r="M959" s="39"/>
      <c r="N959" s="39"/>
      <c r="O959" s="39"/>
      <c r="P959" s="39"/>
      <c r="Q959" s="39"/>
      <c r="R959" s="39"/>
      <c r="S959" s="39"/>
      <c r="T959" s="39"/>
    </row>
    <row r="960" spans="1:20" ht="15.75">
      <c r="A960" s="13">
        <v>70372</v>
      </c>
      <c r="B960" s="47">
        <f t="shared" si="5"/>
        <v>31</v>
      </c>
      <c r="C960" s="38">
        <v>194.20500000000001</v>
      </c>
      <c r="D960" s="38">
        <v>267.46600000000001</v>
      </c>
      <c r="E960" s="44">
        <v>812.32899999999995</v>
      </c>
      <c r="F960" s="38">
        <v>1274</v>
      </c>
      <c r="G960" s="38">
        <v>50</v>
      </c>
      <c r="H960" s="46">
        <v>600</v>
      </c>
      <c r="I960" s="38">
        <v>695</v>
      </c>
      <c r="J960" s="38">
        <v>0</v>
      </c>
      <c r="K960" s="39"/>
      <c r="L960" s="39"/>
      <c r="M960" s="39"/>
      <c r="N960" s="39"/>
      <c r="O960" s="39"/>
      <c r="P960" s="39"/>
      <c r="Q960" s="39"/>
      <c r="R960" s="39"/>
      <c r="S960" s="39"/>
      <c r="T960" s="39"/>
    </row>
    <row r="961" spans="1:20" ht="15.75">
      <c r="A961" s="13">
        <v>70402</v>
      </c>
      <c r="B961" s="47">
        <f t="shared" si="5"/>
        <v>30</v>
      </c>
      <c r="C961" s="38">
        <v>194.20500000000001</v>
      </c>
      <c r="D961" s="38">
        <v>267.46600000000001</v>
      </c>
      <c r="E961" s="44">
        <v>812.32899999999995</v>
      </c>
      <c r="F961" s="38">
        <v>1274</v>
      </c>
      <c r="G961" s="38">
        <v>50</v>
      </c>
      <c r="H961" s="46">
        <v>600</v>
      </c>
      <c r="I961" s="38">
        <v>695</v>
      </c>
      <c r="J961" s="38">
        <v>0</v>
      </c>
      <c r="K961" s="39"/>
      <c r="L961" s="39"/>
      <c r="M961" s="39"/>
      <c r="N961" s="39"/>
      <c r="O961" s="39"/>
      <c r="P961" s="39"/>
      <c r="Q961" s="39"/>
      <c r="R961" s="39"/>
      <c r="S961" s="39"/>
      <c r="T961" s="39"/>
    </row>
    <row r="962" spans="1:20" ht="15.75">
      <c r="A962" s="13">
        <v>70433</v>
      </c>
      <c r="B962" s="47">
        <f t="shared" si="5"/>
        <v>31</v>
      </c>
      <c r="C962" s="38">
        <v>131.881</v>
      </c>
      <c r="D962" s="38">
        <v>277.16699999999997</v>
      </c>
      <c r="E962" s="44">
        <v>829.952</v>
      </c>
      <c r="F962" s="38">
        <v>1239</v>
      </c>
      <c r="G962" s="38">
        <v>75</v>
      </c>
      <c r="H962" s="46">
        <v>600</v>
      </c>
      <c r="I962" s="38">
        <v>695</v>
      </c>
      <c r="J962" s="38">
        <v>0</v>
      </c>
      <c r="K962" s="39"/>
      <c r="L962" s="39"/>
      <c r="M962" s="39"/>
      <c r="N962" s="39"/>
      <c r="O962" s="39"/>
      <c r="P962" s="39"/>
      <c r="Q962" s="39"/>
      <c r="R962" s="39"/>
      <c r="S962" s="39"/>
      <c r="T962" s="39"/>
    </row>
    <row r="963" spans="1:20" ht="15.75">
      <c r="A963" s="13">
        <v>70463</v>
      </c>
      <c r="B963" s="47">
        <f t="shared" si="5"/>
        <v>30</v>
      </c>
      <c r="C963" s="38">
        <v>122.58</v>
      </c>
      <c r="D963" s="38">
        <v>297.94099999999997</v>
      </c>
      <c r="E963" s="44">
        <v>729.47900000000004</v>
      </c>
      <c r="F963" s="38">
        <v>1150</v>
      </c>
      <c r="G963" s="38">
        <v>100</v>
      </c>
      <c r="H963" s="46">
        <v>600</v>
      </c>
      <c r="I963" s="38">
        <v>695</v>
      </c>
      <c r="J963" s="38">
        <v>50</v>
      </c>
      <c r="K963" s="39"/>
      <c r="L963" s="39"/>
      <c r="M963" s="39"/>
      <c r="N963" s="39"/>
      <c r="O963" s="39"/>
      <c r="P963" s="39"/>
      <c r="Q963" s="39"/>
      <c r="R963" s="39"/>
      <c r="S963" s="39"/>
      <c r="T963" s="39"/>
    </row>
    <row r="964" spans="1:20" ht="15.75">
      <c r="A964" s="13">
        <v>70494</v>
      </c>
      <c r="B964" s="47">
        <f t="shared" si="5"/>
        <v>31</v>
      </c>
      <c r="C964" s="38">
        <v>122.58</v>
      </c>
      <c r="D964" s="38">
        <v>297.94099999999997</v>
      </c>
      <c r="E964" s="44">
        <v>729.47900000000004</v>
      </c>
      <c r="F964" s="38">
        <v>1150</v>
      </c>
      <c r="G964" s="38">
        <v>100</v>
      </c>
      <c r="H964" s="46">
        <v>600</v>
      </c>
      <c r="I964" s="38">
        <v>695</v>
      </c>
      <c r="J964" s="38">
        <v>50</v>
      </c>
      <c r="K964" s="39"/>
      <c r="L964" s="39"/>
      <c r="M964" s="39"/>
      <c r="N964" s="39"/>
      <c r="O964" s="39"/>
      <c r="P964" s="39"/>
      <c r="Q964" s="39"/>
      <c r="R964" s="39"/>
      <c r="S964" s="39"/>
      <c r="T964" s="39"/>
    </row>
    <row r="965" spans="1:20" ht="15.75">
      <c r="A965" s="13">
        <v>70525</v>
      </c>
      <c r="B965" s="47">
        <f t="shared" si="5"/>
        <v>31</v>
      </c>
      <c r="C965" s="38">
        <v>122.58</v>
      </c>
      <c r="D965" s="38">
        <v>297.94099999999997</v>
      </c>
      <c r="E965" s="44">
        <v>729.47900000000004</v>
      </c>
      <c r="F965" s="38">
        <v>1150</v>
      </c>
      <c r="G965" s="38">
        <v>100</v>
      </c>
      <c r="H965" s="46">
        <v>600</v>
      </c>
      <c r="I965" s="38">
        <v>695</v>
      </c>
      <c r="J965" s="38">
        <v>50</v>
      </c>
      <c r="K965" s="39"/>
      <c r="L965" s="39"/>
      <c r="M965" s="39"/>
      <c r="N965" s="39"/>
      <c r="O965" s="39"/>
      <c r="P965" s="39"/>
      <c r="Q965" s="39"/>
      <c r="R965" s="39"/>
      <c r="S965" s="39"/>
      <c r="T965" s="39"/>
    </row>
    <row r="966" spans="1:20" ht="15.75">
      <c r="A966" s="13">
        <v>70553</v>
      </c>
      <c r="B966" s="47">
        <f t="shared" si="5"/>
        <v>28</v>
      </c>
      <c r="C966" s="38">
        <v>122.58</v>
      </c>
      <c r="D966" s="38">
        <v>297.94099999999997</v>
      </c>
      <c r="E966" s="44">
        <v>729.47900000000004</v>
      </c>
      <c r="F966" s="38">
        <v>1150</v>
      </c>
      <c r="G966" s="38">
        <v>100</v>
      </c>
      <c r="H966" s="46">
        <v>600</v>
      </c>
      <c r="I966" s="38">
        <v>695</v>
      </c>
      <c r="J966" s="38">
        <v>50</v>
      </c>
      <c r="K966" s="39"/>
      <c r="L966" s="39"/>
      <c r="M966" s="39"/>
      <c r="N966" s="39"/>
      <c r="O966" s="39"/>
      <c r="P966" s="39"/>
      <c r="Q966" s="39"/>
      <c r="R966" s="39"/>
      <c r="S966" s="39"/>
      <c r="T966" s="39"/>
    </row>
    <row r="967" spans="1:20" ht="15.75">
      <c r="A967" s="13">
        <v>70584</v>
      </c>
      <c r="B967" s="47">
        <f t="shared" si="5"/>
        <v>31</v>
      </c>
      <c r="C967" s="38">
        <v>122.58</v>
      </c>
      <c r="D967" s="38">
        <v>297.94099999999997</v>
      </c>
      <c r="E967" s="44">
        <v>729.47900000000004</v>
      </c>
      <c r="F967" s="38">
        <v>1150</v>
      </c>
      <c r="G967" s="38">
        <v>100</v>
      </c>
      <c r="H967" s="46">
        <v>600</v>
      </c>
      <c r="I967" s="38">
        <v>695</v>
      </c>
      <c r="J967" s="38">
        <v>50</v>
      </c>
      <c r="K967" s="39"/>
      <c r="L967" s="39"/>
      <c r="M967" s="39"/>
      <c r="N967" s="39"/>
      <c r="O967" s="39"/>
      <c r="P967" s="39"/>
      <c r="Q967" s="39"/>
      <c r="R967" s="39"/>
      <c r="S967" s="39"/>
      <c r="T967" s="39"/>
    </row>
    <row r="968" spans="1:20" ht="15.75">
      <c r="A968" s="13">
        <v>70614</v>
      </c>
      <c r="B968" s="47">
        <f t="shared" si="5"/>
        <v>30</v>
      </c>
      <c r="C968" s="38">
        <v>141.29300000000001</v>
      </c>
      <c r="D968" s="38">
        <v>267.99299999999999</v>
      </c>
      <c r="E968" s="44">
        <v>829.71400000000006</v>
      </c>
      <c r="F968" s="38">
        <v>1239</v>
      </c>
      <c r="G968" s="38">
        <v>100</v>
      </c>
      <c r="H968" s="46">
        <v>600</v>
      </c>
      <c r="I968" s="38">
        <v>695</v>
      </c>
      <c r="J968" s="38">
        <v>50</v>
      </c>
      <c r="K968" s="39"/>
      <c r="L968" s="39"/>
      <c r="M968" s="39"/>
      <c r="N968" s="39"/>
      <c r="O968" s="39"/>
      <c r="P968" s="39"/>
      <c r="Q968" s="39"/>
      <c r="R968" s="39"/>
      <c r="S968" s="39"/>
      <c r="T968" s="39"/>
    </row>
    <row r="969" spans="1:20" ht="15.75">
      <c r="A969" s="13">
        <v>70645</v>
      </c>
      <c r="B969" s="47">
        <f t="shared" si="5"/>
        <v>31</v>
      </c>
      <c r="C969" s="38">
        <v>194.20500000000001</v>
      </c>
      <c r="D969" s="38">
        <v>267.46600000000001</v>
      </c>
      <c r="E969" s="44">
        <v>812.32899999999995</v>
      </c>
      <c r="F969" s="38">
        <v>1274</v>
      </c>
      <c r="G969" s="38">
        <v>75</v>
      </c>
      <c r="H969" s="46">
        <v>600</v>
      </c>
      <c r="I969" s="38">
        <v>695</v>
      </c>
      <c r="J969" s="38">
        <v>50</v>
      </c>
      <c r="K969" s="39"/>
      <c r="L969" s="39"/>
      <c r="M969" s="39"/>
      <c r="N969" s="39"/>
      <c r="O969" s="39"/>
      <c r="P969" s="39"/>
      <c r="Q969" s="39"/>
      <c r="R969" s="39"/>
      <c r="S969" s="39"/>
      <c r="T969" s="39"/>
    </row>
    <row r="970" spans="1:20" ht="15.75">
      <c r="A970" s="13">
        <v>70675</v>
      </c>
      <c r="B970" s="47">
        <f t="shared" si="5"/>
        <v>30</v>
      </c>
      <c r="C970" s="38">
        <v>194.20500000000001</v>
      </c>
      <c r="D970" s="38">
        <v>267.46600000000001</v>
      </c>
      <c r="E970" s="44">
        <v>812.32899999999995</v>
      </c>
      <c r="F970" s="38">
        <v>1274</v>
      </c>
      <c r="G970" s="38">
        <v>50</v>
      </c>
      <c r="H970" s="46">
        <v>600</v>
      </c>
      <c r="I970" s="38">
        <v>695</v>
      </c>
      <c r="J970" s="38">
        <v>50</v>
      </c>
      <c r="K970" s="39"/>
      <c r="L970" s="39"/>
      <c r="M970" s="39"/>
      <c r="N970" s="39"/>
      <c r="O970" s="39"/>
      <c r="P970" s="39"/>
      <c r="Q970" s="39"/>
      <c r="R970" s="39"/>
      <c r="S970" s="39"/>
      <c r="T970" s="39"/>
    </row>
    <row r="971" spans="1:20" ht="15.75">
      <c r="A971" s="13">
        <v>70706</v>
      </c>
      <c r="B971" s="47">
        <f t="shared" si="5"/>
        <v>31</v>
      </c>
      <c r="C971" s="38">
        <v>194.20500000000001</v>
      </c>
      <c r="D971" s="38">
        <v>267.46600000000001</v>
      </c>
      <c r="E971" s="44">
        <v>812.32899999999995</v>
      </c>
      <c r="F971" s="38">
        <v>1274</v>
      </c>
      <c r="G971" s="38">
        <v>50</v>
      </c>
      <c r="H971" s="46">
        <v>600</v>
      </c>
      <c r="I971" s="38">
        <v>695</v>
      </c>
      <c r="J971" s="38">
        <v>0</v>
      </c>
      <c r="K971" s="39"/>
      <c r="L971" s="39"/>
      <c r="M971" s="39"/>
      <c r="N971" s="39"/>
      <c r="O971" s="39"/>
      <c r="P971" s="39"/>
      <c r="Q971" s="39"/>
      <c r="R971" s="39"/>
      <c r="S971" s="39"/>
      <c r="T971" s="39"/>
    </row>
    <row r="972" spans="1:20" ht="15.75">
      <c r="A972" s="13">
        <v>70737</v>
      </c>
      <c r="B972" s="47">
        <f t="shared" si="5"/>
        <v>31</v>
      </c>
      <c r="C972" s="38">
        <v>194.20500000000001</v>
      </c>
      <c r="D972" s="38">
        <v>267.46600000000001</v>
      </c>
      <c r="E972" s="44">
        <v>812.32899999999995</v>
      </c>
      <c r="F972" s="38">
        <v>1274</v>
      </c>
      <c r="G972" s="38">
        <v>50</v>
      </c>
      <c r="H972" s="46">
        <v>600</v>
      </c>
      <c r="I972" s="38">
        <v>695</v>
      </c>
      <c r="J972" s="38">
        <v>0</v>
      </c>
      <c r="K972" s="39"/>
      <c r="L972" s="39"/>
      <c r="M972" s="39"/>
      <c r="N972" s="39"/>
      <c r="O972" s="39"/>
      <c r="P972" s="39"/>
      <c r="Q972" s="39"/>
      <c r="R972" s="39"/>
      <c r="S972" s="39"/>
      <c r="T972" s="39"/>
    </row>
    <row r="973" spans="1:20" ht="15.75">
      <c r="A973" s="13">
        <v>70767</v>
      </c>
      <c r="B973" s="47">
        <f t="shared" si="5"/>
        <v>30</v>
      </c>
      <c r="C973" s="38">
        <v>194.20500000000001</v>
      </c>
      <c r="D973" s="38">
        <v>267.46600000000001</v>
      </c>
      <c r="E973" s="44">
        <v>812.32899999999995</v>
      </c>
      <c r="F973" s="38">
        <v>1274</v>
      </c>
      <c r="G973" s="38">
        <v>50</v>
      </c>
      <c r="H973" s="46">
        <v>600</v>
      </c>
      <c r="I973" s="38">
        <v>695</v>
      </c>
      <c r="J973" s="38">
        <v>0</v>
      </c>
      <c r="K973" s="39"/>
      <c r="L973" s="39"/>
      <c r="M973" s="39"/>
      <c r="N973" s="39"/>
      <c r="O973" s="39"/>
      <c r="P973" s="39"/>
      <c r="Q973" s="39"/>
      <c r="R973" s="39"/>
      <c r="S973" s="39"/>
      <c r="T973" s="39"/>
    </row>
    <row r="974" spans="1:20" ht="15.75">
      <c r="A974" s="13">
        <v>70798</v>
      </c>
      <c r="B974" s="47">
        <f t="shared" si="5"/>
        <v>31</v>
      </c>
      <c r="C974" s="38">
        <v>131.881</v>
      </c>
      <c r="D974" s="38">
        <v>277.16699999999997</v>
      </c>
      <c r="E974" s="44">
        <v>829.952</v>
      </c>
      <c r="F974" s="38">
        <v>1239</v>
      </c>
      <c r="G974" s="38">
        <v>75</v>
      </c>
      <c r="H974" s="46">
        <v>600</v>
      </c>
      <c r="I974" s="38">
        <v>695</v>
      </c>
      <c r="J974" s="38">
        <v>0</v>
      </c>
      <c r="K974" s="39"/>
      <c r="L974" s="39"/>
      <c r="M974" s="39"/>
      <c r="N974" s="39"/>
      <c r="O974" s="39"/>
      <c r="P974" s="39"/>
      <c r="Q974" s="39"/>
      <c r="R974" s="39"/>
      <c r="S974" s="39"/>
      <c r="T974" s="39"/>
    </row>
    <row r="975" spans="1:20" ht="15.75">
      <c r="A975" s="13">
        <v>70828</v>
      </c>
      <c r="B975" s="47">
        <f t="shared" si="5"/>
        <v>30</v>
      </c>
      <c r="C975" s="38">
        <v>122.58</v>
      </c>
      <c r="D975" s="38">
        <v>297.94099999999997</v>
      </c>
      <c r="E975" s="44">
        <v>729.47900000000004</v>
      </c>
      <c r="F975" s="38">
        <v>1150</v>
      </c>
      <c r="G975" s="38">
        <v>100</v>
      </c>
      <c r="H975" s="46">
        <v>600</v>
      </c>
      <c r="I975" s="38">
        <v>695</v>
      </c>
      <c r="J975" s="38">
        <v>50</v>
      </c>
      <c r="K975" s="39"/>
      <c r="L975" s="39"/>
      <c r="M975" s="39"/>
      <c r="N975" s="39"/>
      <c r="O975" s="39"/>
      <c r="P975" s="39"/>
      <c r="Q975" s="39"/>
      <c r="R975" s="39"/>
      <c r="S975" s="39"/>
      <c r="T975" s="39"/>
    </row>
    <row r="976" spans="1:20" ht="15.75">
      <c r="A976" s="13">
        <v>70859</v>
      </c>
      <c r="B976" s="47">
        <f t="shared" si="5"/>
        <v>31</v>
      </c>
      <c r="C976" s="38">
        <v>122.58</v>
      </c>
      <c r="D976" s="38">
        <v>297.94099999999997</v>
      </c>
      <c r="E976" s="44">
        <v>729.47900000000004</v>
      </c>
      <c r="F976" s="38">
        <v>1150</v>
      </c>
      <c r="G976" s="38">
        <v>100</v>
      </c>
      <c r="H976" s="46">
        <v>600</v>
      </c>
      <c r="I976" s="38">
        <v>695</v>
      </c>
      <c r="J976" s="38">
        <v>50</v>
      </c>
      <c r="K976" s="39"/>
      <c r="L976" s="39"/>
      <c r="M976" s="39"/>
      <c r="N976" s="39"/>
      <c r="O976" s="39"/>
      <c r="P976" s="39"/>
      <c r="Q976" s="39"/>
      <c r="R976" s="39"/>
      <c r="S976" s="39"/>
      <c r="T976" s="39"/>
    </row>
    <row r="977" spans="1:20" ht="15.75">
      <c r="A977" s="13">
        <v>70890</v>
      </c>
      <c r="B977" s="47">
        <f t="shared" ref="B977:B1040" si="6">EOMONTH(A977,0)-EOMONTH(A977,-1)</f>
        <v>31</v>
      </c>
      <c r="C977" s="38">
        <v>122.58</v>
      </c>
      <c r="D977" s="38">
        <v>297.94099999999997</v>
      </c>
      <c r="E977" s="44">
        <v>729.47900000000004</v>
      </c>
      <c r="F977" s="38">
        <v>1150</v>
      </c>
      <c r="G977" s="38">
        <v>100</v>
      </c>
      <c r="H977" s="46">
        <v>600</v>
      </c>
      <c r="I977" s="38">
        <v>695</v>
      </c>
      <c r="J977" s="38">
        <v>50</v>
      </c>
      <c r="K977" s="39"/>
      <c r="L977" s="39"/>
      <c r="M977" s="39"/>
      <c r="N977" s="39"/>
      <c r="O977" s="39"/>
      <c r="P977" s="39"/>
      <c r="Q977" s="39"/>
      <c r="R977" s="39"/>
      <c r="S977" s="39"/>
      <c r="T977" s="39"/>
    </row>
    <row r="978" spans="1:20" ht="15.75">
      <c r="A978" s="13">
        <v>70918</v>
      </c>
      <c r="B978" s="47">
        <f t="shared" si="6"/>
        <v>28</v>
      </c>
      <c r="C978" s="38">
        <v>122.58</v>
      </c>
      <c r="D978" s="38">
        <v>297.94099999999997</v>
      </c>
      <c r="E978" s="44">
        <v>729.47900000000004</v>
      </c>
      <c r="F978" s="38">
        <v>1150</v>
      </c>
      <c r="G978" s="38">
        <v>100</v>
      </c>
      <c r="H978" s="46">
        <v>600</v>
      </c>
      <c r="I978" s="38">
        <v>695</v>
      </c>
      <c r="J978" s="38">
        <v>50</v>
      </c>
      <c r="K978" s="39"/>
      <c r="L978" s="39"/>
      <c r="M978" s="39"/>
      <c r="N978" s="39"/>
      <c r="O978" s="39"/>
      <c r="P978" s="39"/>
      <c r="Q978" s="39"/>
      <c r="R978" s="39"/>
      <c r="S978" s="39"/>
      <c r="T978" s="39"/>
    </row>
    <row r="979" spans="1:20" ht="15.75">
      <c r="A979" s="13">
        <v>70949</v>
      </c>
      <c r="B979" s="47">
        <f t="shared" si="6"/>
        <v>31</v>
      </c>
      <c r="C979" s="38">
        <v>122.58</v>
      </c>
      <c r="D979" s="38">
        <v>297.94099999999997</v>
      </c>
      <c r="E979" s="44">
        <v>729.47900000000004</v>
      </c>
      <c r="F979" s="38">
        <v>1150</v>
      </c>
      <c r="G979" s="38">
        <v>100</v>
      </c>
      <c r="H979" s="46">
        <v>600</v>
      </c>
      <c r="I979" s="38">
        <v>695</v>
      </c>
      <c r="J979" s="38">
        <v>50</v>
      </c>
      <c r="K979" s="39"/>
      <c r="L979" s="39"/>
      <c r="M979" s="39"/>
      <c r="N979" s="39"/>
      <c r="O979" s="39"/>
      <c r="P979" s="39"/>
      <c r="Q979" s="39"/>
      <c r="R979" s="39"/>
      <c r="S979" s="39"/>
      <c r="T979" s="39"/>
    </row>
    <row r="980" spans="1:20" ht="15.75">
      <c r="A980" s="13">
        <v>70979</v>
      </c>
      <c r="B980" s="47">
        <f t="shared" si="6"/>
        <v>30</v>
      </c>
      <c r="C980" s="38">
        <v>141.29300000000001</v>
      </c>
      <c r="D980" s="38">
        <v>267.99299999999999</v>
      </c>
      <c r="E980" s="44">
        <v>829.71400000000006</v>
      </c>
      <c r="F980" s="38">
        <v>1239</v>
      </c>
      <c r="G980" s="38">
        <v>100</v>
      </c>
      <c r="H980" s="46">
        <v>600</v>
      </c>
      <c r="I980" s="38">
        <v>695</v>
      </c>
      <c r="J980" s="38">
        <v>50</v>
      </c>
      <c r="K980" s="39"/>
      <c r="L980" s="39"/>
      <c r="M980" s="39"/>
      <c r="N980" s="39"/>
      <c r="O980" s="39"/>
      <c r="P980" s="39"/>
      <c r="Q980" s="39"/>
      <c r="R980" s="39"/>
      <c r="S980" s="39"/>
      <c r="T980" s="39"/>
    </row>
    <row r="981" spans="1:20" ht="15.75">
      <c r="A981" s="13">
        <v>71010</v>
      </c>
      <c r="B981" s="47">
        <f t="shared" si="6"/>
        <v>31</v>
      </c>
      <c r="C981" s="38">
        <v>194.20500000000001</v>
      </c>
      <c r="D981" s="38">
        <v>267.46600000000001</v>
      </c>
      <c r="E981" s="44">
        <v>812.32899999999995</v>
      </c>
      <c r="F981" s="38">
        <v>1274</v>
      </c>
      <c r="G981" s="38">
        <v>75</v>
      </c>
      <c r="H981" s="46">
        <v>600</v>
      </c>
      <c r="I981" s="38">
        <v>695</v>
      </c>
      <c r="J981" s="38">
        <v>50</v>
      </c>
      <c r="K981" s="39"/>
      <c r="L981" s="39"/>
      <c r="M981" s="39"/>
      <c r="N981" s="39"/>
      <c r="O981" s="39"/>
      <c r="P981" s="39"/>
      <c r="Q981" s="39"/>
      <c r="R981" s="39"/>
      <c r="S981" s="39"/>
      <c r="T981" s="39"/>
    </row>
    <row r="982" spans="1:20" ht="15.75">
      <c r="A982" s="13">
        <v>71040</v>
      </c>
      <c r="B982" s="47">
        <f t="shared" si="6"/>
        <v>30</v>
      </c>
      <c r="C982" s="38">
        <v>194.20500000000001</v>
      </c>
      <c r="D982" s="38">
        <v>267.46600000000001</v>
      </c>
      <c r="E982" s="44">
        <v>812.32899999999995</v>
      </c>
      <c r="F982" s="38">
        <v>1274</v>
      </c>
      <c r="G982" s="38">
        <v>50</v>
      </c>
      <c r="H982" s="46">
        <v>600</v>
      </c>
      <c r="I982" s="38">
        <v>695</v>
      </c>
      <c r="J982" s="38">
        <v>50</v>
      </c>
      <c r="K982" s="39"/>
      <c r="L982" s="39"/>
      <c r="M982" s="39"/>
      <c r="N982" s="39"/>
      <c r="O982" s="39"/>
      <c r="P982" s="39"/>
      <c r="Q982" s="39"/>
      <c r="R982" s="39"/>
      <c r="S982" s="39"/>
      <c r="T982" s="39"/>
    </row>
    <row r="983" spans="1:20" ht="15.75">
      <c r="A983" s="13">
        <v>71071</v>
      </c>
      <c r="B983" s="47">
        <f t="shared" si="6"/>
        <v>31</v>
      </c>
      <c r="C983" s="38">
        <v>194.20500000000001</v>
      </c>
      <c r="D983" s="38">
        <v>267.46600000000001</v>
      </c>
      <c r="E983" s="44">
        <v>812.32899999999995</v>
      </c>
      <c r="F983" s="38">
        <v>1274</v>
      </c>
      <c r="G983" s="38">
        <v>50</v>
      </c>
      <c r="H983" s="46">
        <v>600</v>
      </c>
      <c r="I983" s="38">
        <v>695</v>
      </c>
      <c r="J983" s="38">
        <v>0</v>
      </c>
      <c r="K983" s="39"/>
      <c r="L983" s="39"/>
      <c r="M983" s="39"/>
      <c r="N983" s="39"/>
      <c r="O983" s="39"/>
      <c r="P983" s="39"/>
      <c r="Q983" s="39"/>
      <c r="R983" s="39"/>
      <c r="S983" s="39"/>
      <c r="T983" s="39"/>
    </row>
    <row r="984" spans="1:20" ht="15.75">
      <c r="A984" s="13">
        <v>71102</v>
      </c>
      <c r="B984" s="47">
        <f t="shared" si="6"/>
        <v>31</v>
      </c>
      <c r="C984" s="38">
        <v>194.20500000000001</v>
      </c>
      <c r="D984" s="38">
        <v>267.46600000000001</v>
      </c>
      <c r="E984" s="44">
        <v>812.32899999999995</v>
      </c>
      <c r="F984" s="38">
        <v>1274</v>
      </c>
      <c r="G984" s="38">
        <v>50</v>
      </c>
      <c r="H984" s="46">
        <v>600</v>
      </c>
      <c r="I984" s="38">
        <v>695</v>
      </c>
      <c r="J984" s="38">
        <v>0</v>
      </c>
      <c r="K984" s="39"/>
      <c r="L984" s="39"/>
      <c r="M984" s="39"/>
      <c r="N984" s="39"/>
      <c r="O984" s="39"/>
      <c r="P984" s="39"/>
      <c r="Q984" s="39"/>
      <c r="R984" s="39"/>
      <c r="S984" s="39"/>
      <c r="T984" s="39"/>
    </row>
    <row r="985" spans="1:20" ht="15.75">
      <c r="A985" s="13">
        <v>71132</v>
      </c>
      <c r="B985" s="47">
        <f t="shared" si="6"/>
        <v>30</v>
      </c>
      <c r="C985" s="38">
        <v>194.20500000000001</v>
      </c>
      <c r="D985" s="38">
        <v>267.46600000000001</v>
      </c>
      <c r="E985" s="44">
        <v>812.32899999999995</v>
      </c>
      <c r="F985" s="38">
        <v>1274</v>
      </c>
      <c r="G985" s="38">
        <v>50</v>
      </c>
      <c r="H985" s="46">
        <v>600</v>
      </c>
      <c r="I985" s="38">
        <v>695</v>
      </c>
      <c r="J985" s="38">
        <v>0</v>
      </c>
      <c r="K985" s="39"/>
      <c r="L985" s="39"/>
      <c r="M985" s="39"/>
      <c r="N985" s="39"/>
      <c r="O985" s="39"/>
      <c r="P985" s="39"/>
      <c r="Q985" s="39"/>
      <c r="R985" s="39"/>
      <c r="S985" s="39"/>
      <c r="T985" s="39"/>
    </row>
    <row r="986" spans="1:20" ht="15.75">
      <c r="A986" s="13">
        <v>71163</v>
      </c>
      <c r="B986" s="47">
        <f t="shared" si="6"/>
        <v>31</v>
      </c>
      <c r="C986" s="38">
        <v>131.881</v>
      </c>
      <c r="D986" s="38">
        <v>277.16699999999997</v>
      </c>
      <c r="E986" s="44">
        <v>829.952</v>
      </c>
      <c r="F986" s="38">
        <v>1239</v>
      </c>
      <c r="G986" s="38">
        <v>75</v>
      </c>
      <c r="H986" s="46">
        <v>600</v>
      </c>
      <c r="I986" s="38">
        <v>695</v>
      </c>
      <c r="J986" s="38">
        <v>0</v>
      </c>
      <c r="K986" s="39"/>
      <c r="L986" s="39"/>
      <c r="M986" s="39"/>
      <c r="N986" s="39"/>
      <c r="O986" s="39"/>
      <c r="P986" s="39"/>
      <c r="Q986" s="39"/>
      <c r="R986" s="39"/>
      <c r="S986" s="39"/>
      <c r="T986" s="39"/>
    </row>
    <row r="987" spans="1:20" ht="15.75">
      <c r="A987" s="13">
        <v>71193</v>
      </c>
      <c r="B987" s="47">
        <f t="shared" si="6"/>
        <v>30</v>
      </c>
      <c r="C987" s="38">
        <v>122.58</v>
      </c>
      <c r="D987" s="38">
        <v>297.94099999999997</v>
      </c>
      <c r="E987" s="44">
        <v>729.47900000000004</v>
      </c>
      <c r="F987" s="38">
        <v>1150</v>
      </c>
      <c r="G987" s="38">
        <v>100</v>
      </c>
      <c r="H987" s="46">
        <v>600</v>
      </c>
      <c r="I987" s="38">
        <v>695</v>
      </c>
      <c r="J987" s="38">
        <v>50</v>
      </c>
      <c r="K987" s="39"/>
      <c r="L987" s="39"/>
      <c r="M987" s="39"/>
      <c r="N987" s="39"/>
      <c r="O987" s="39"/>
      <c r="P987" s="39"/>
      <c r="Q987" s="39"/>
      <c r="R987" s="39"/>
      <c r="S987" s="39"/>
      <c r="T987" s="39"/>
    </row>
    <row r="988" spans="1:20" ht="15.75">
      <c r="A988" s="13">
        <v>71224</v>
      </c>
      <c r="B988" s="47">
        <f t="shared" si="6"/>
        <v>31</v>
      </c>
      <c r="C988" s="38">
        <v>122.58</v>
      </c>
      <c r="D988" s="38">
        <v>297.94099999999997</v>
      </c>
      <c r="E988" s="44">
        <v>729.47900000000004</v>
      </c>
      <c r="F988" s="38">
        <v>1150</v>
      </c>
      <c r="G988" s="38">
        <v>100</v>
      </c>
      <c r="H988" s="46">
        <v>600</v>
      </c>
      <c r="I988" s="38">
        <v>695</v>
      </c>
      <c r="J988" s="38">
        <v>50</v>
      </c>
      <c r="K988" s="39"/>
      <c r="L988" s="39"/>
      <c r="M988" s="39"/>
      <c r="N988" s="39"/>
      <c r="O988" s="39"/>
      <c r="P988" s="39"/>
      <c r="Q988" s="39"/>
      <c r="R988" s="39"/>
      <c r="S988" s="39"/>
      <c r="T988" s="39"/>
    </row>
    <row r="989" spans="1:20" ht="15.75">
      <c r="A989" s="13">
        <v>71255</v>
      </c>
      <c r="B989" s="47">
        <f t="shared" si="6"/>
        <v>31</v>
      </c>
      <c r="C989" s="38">
        <v>122.58</v>
      </c>
      <c r="D989" s="38">
        <v>297.94099999999997</v>
      </c>
      <c r="E989" s="44">
        <v>729.47900000000004</v>
      </c>
      <c r="F989" s="38">
        <v>1150</v>
      </c>
      <c r="G989" s="38">
        <v>100</v>
      </c>
      <c r="H989" s="46">
        <v>600</v>
      </c>
      <c r="I989" s="38">
        <v>695</v>
      </c>
      <c r="J989" s="38">
        <v>50</v>
      </c>
      <c r="K989" s="39"/>
      <c r="L989" s="39"/>
      <c r="M989" s="39"/>
      <c r="N989" s="39"/>
      <c r="O989" s="39"/>
      <c r="P989" s="39"/>
      <c r="Q989" s="39"/>
      <c r="R989" s="39"/>
      <c r="S989" s="39"/>
      <c r="T989" s="39"/>
    </row>
    <row r="990" spans="1:20" ht="15.75">
      <c r="A990" s="13">
        <v>71283</v>
      </c>
      <c r="B990" s="47">
        <f t="shared" si="6"/>
        <v>28</v>
      </c>
      <c r="C990" s="38">
        <v>122.58</v>
      </c>
      <c r="D990" s="38">
        <v>297.94099999999997</v>
      </c>
      <c r="E990" s="44">
        <v>729.47900000000004</v>
      </c>
      <c r="F990" s="38">
        <v>1150</v>
      </c>
      <c r="G990" s="38">
        <v>100</v>
      </c>
      <c r="H990" s="46">
        <v>600</v>
      </c>
      <c r="I990" s="38">
        <v>695</v>
      </c>
      <c r="J990" s="38">
        <v>50</v>
      </c>
      <c r="K990" s="39"/>
      <c r="L990" s="39"/>
      <c r="M990" s="39"/>
      <c r="N990" s="39"/>
      <c r="O990" s="39"/>
      <c r="P990" s="39"/>
      <c r="Q990" s="39"/>
      <c r="R990" s="39"/>
      <c r="S990" s="39"/>
      <c r="T990" s="39"/>
    </row>
    <row r="991" spans="1:20" ht="15.75">
      <c r="A991" s="13">
        <v>71314</v>
      </c>
      <c r="B991" s="47">
        <f t="shared" si="6"/>
        <v>31</v>
      </c>
      <c r="C991" s="38">
        <v>122.58</v>
      </c>
      <c r="D991" s="38">
        <v>297.94099999999997</v>
      </c>
      <c r="E991" s="44">
        <v>729.47900000000004</v>
      </c>
      <c r="F991" s="38">
        <v>1150</v>
      </c>
      <c r="G991" s="38">
        <v>100</v>
      </c>
      <c r="H991" s="46">
        <v>600</v>
      </c>
      <c r="I991" s="38">
        <v>695</v>
      </c>
      <c r="J991" s="38">
        <v>50</v>
      </c>
      <c r="K991" s="39"/>
      <c r="L991" s="39"/>
      <c r="M991" s="39"/>
      <c r="N991" s="39"/>
      <c r="O991" s="39"/>
      <c r="P991" s="39"/>
      <c r="Q991" s="39"/>
      <c r="R991" s="39"/>
      <c r="S991" s="39"/>
      <c r="T991" s="39"/>
    </row>
    <row r="992" spans="1:20" ht="15.75">
      <c r="A992" s="13">
        <v>71344</v>
      </c>
      <c r="B992" s="47">
        <f t="shared" si="6"/>
        <v>30</v>
      </c>
      <c r="C992" s="38">
        <v>141.29300000000001</v>
      </c>
      <c r="D992" s="38">
        <v>267.99299999999999</v>
      </c>
      <c r="E992" s="44">
        <v>829.71400000000006</v>
      </c>
      <c r="F992" s="38">
        <v>1239</v>
      </c>
      <c r="G992" s="38">
        <v>100</v>
      </c>
      <c r="H992" s="46">
        <v>600</v>
      </c>
      <c r="I992" s="38">
        <v>695</v>
      </c>
      <c r="J992" s="38">
        <v>50</v>
      </c>
      <c r="K992" s="39"/>
      <c r="L992" s="39"/>
      <c r="M992" s="39"/>
      <c r="N992" s="39"/>
      <c r="O992" s="39"/>
      <c r="P992" s="39"/>
      <c r="Q992" s="39"/>
      <c r="R992" s="39"/>
      <c r="S992" s="39"/>
      <c r="T992" s="39"/>
    </row>
    <row r="993" spans="1:20" ht="15.75">
      <c r="A993" s="13">
        <v>71375</v>
      </c>
      <c r="B993" s="47">
        <f t="shared" si="6"/>
        <v>31</v>
      </c>
      <c r="C993" s="38">
        <v>194.20500000000001</v>
      </c>
      <c r="D993" s="38">
        <v>267.46600000000001</v>
      </c>
      <c r="E993" s="44">
        <v>812.32899999999995</v>
      </c>
      <c r="F993" s="38">
        <v>1274</v>
      </c>
      <c r="G993" s="38">
        <v>75</v>
      </c>
      <c r="H993" s="46">
        <v>600</v>
      </c>
      <c r="I993" s="38">
        <v>695</v>
      </c>
      <c r="J993" s="38">
        <v>50</v>
      </c>
      <c r="K993" s="39"/>
      <c r="L993" s="39"/>
      <c r="M993" s="39"/>
      <c r="N993" s="39"/>
      <c r="O993" s="39"/>
      <c r="P993" s="39"/>
      <c r="Q993" s="39"/>
      <c r="R993" s="39"/>
      <c r="S993" s="39"/>
      <c r="T993" s="39"/>
    </row>
    <row r="994" spans="1:20" ht="15.75">
      <c r="A994" s="13">
        <v>71405</v>
      </c>
      <c r="B994" s="47">
        <f t="shared" si="6"/>
        <v>30</v>
      </c>
      <c r="C994" s="38">
        <v>194.20500000000001</v>
      </c>
      <c r="D994" s="38">
        <v>267.46600000000001</v>
      </c>
      <c r="E994" s="44">
        <v>812.32899999999995</v>
      </c>
      <c r="F994" s="38">
        <v>1274</v>
      </c>
      <c r="G994" s="38">
        <v>50</v>
      </c>
      <c r="H994" s="46">
        <v>600</v>
      </c>
      <c r="I994" s="38">
        <v>695</v>
      </c>
      <c r="J994" s="38">
        <v>50</v>
      </c>
      <c r="K994" s="39"/>
      <c r="L994" s="39"/>
      <c r="M994" s="39"/>
      <c r="N994" s="39"/>
      <c r="O994" s="39"/>
      <c r="P994" s="39"/>
      <c r="Q994" s="39"/>
      <c r="R994" s="39"/>
      <c r="S994" s="39"/>
      <c r="T994" s="39"/>
    </row>
    <row r="995" spans="1:20" ht="15.75">
      <c r="A995" s="13">
        <v>71436</v>
      </c>
      <c r="B995" s="47">
        <f t="shared" si="6"/>
        <v>31</v>
      </c>
      <c r="C995" s="38">
        <v>194.20500000000001</v>
      </c>
      <c r="D995" s="38">
        <v>267.46600000000001</v>
      </c>
      <c r="E995" s="44">
        <v>812.32899999999995</v>
      </c>
      <c r="F995" s="38">
        <v>1274</v>
      </c>
      <c r="G995" s="38">
        <v>50</v>
      </c>
      <c r="H995" s="46">
        <v>600</v>
      </c>
      <c r="I995" s="38">
        <v>695</v>
      </c>
      <c r="J995" s="38">
        <v>0</v>
      </c>
      <c r="K995" s="39"/>
      <c r="L995" s="39"/>
      <c r="M995" s="39"/>
      <c r="N995" s="39"/>
      <c r="O995" s="39"/>
      <c r="P995" s="39"/>
      <c r="Q995" s="39"/>
      <c r="R995" s="39"/>
      <c r="S995" s="39"/>
      <c r="T995" s="39"/>
    </row>
    <row r="996" spans="1:20" ht="15.75">
      <c r="A996" s="13">
        <v>71467</v>
      </c>
      <c r="B996" s="47">
        <f t="shared" si="6"/>
        <v>31</v>
      </c>
      <c r="C996" s="38">
        <v>194.20500000000001</v>
      </c>
      <c r="D996" s="38">
        <v>267.46600000000001</v>
      </c>
      <c r="E996" s="44">
        <v>812.32899999999995</v>
      </c>
      <c r="F996" s="38">
        <v>1274</v>
      </c>
      <c r="G996" s="38">
        <v>50</v>
      </c>
      <c r="H996" s="46">
        <v>600</v>
      </c>
      <c r="I996" s="38">
        <v>695</v>
      </c>
      <c r="J996" s="38">
        <v>0</v>
      </c>
      <c r="K996" s="39"/>
      <c r="L996" s="39"/>
      <c r="M996" s="39"/>
      <c r="N996" s="39"/>
      <c r="O996" s="39"/>
      <c r="P996" s="39"/>
      <c r="Q996" s="39"/>
      <c r="R996" s="39"/>
      <c r="S996" s="39"/>
      <c r="T996" s="39"/>
    </row>
    <row r="997" spans="1:20" ht="15.75">
      <c r="A997" s="13">
        <v>71497</v>
      </c>
      <c r="B997" s="47">
        <f t="shared" si="6"/>
        <v>30</v>
      </c>
      <c r="C997" s="38">
        <v>194.20500000000001</v>
      </c>
      <c r="D997" s="38">
        <v>267.46600000000001</v>
      </c>
      <c r="E997" s="44">
        <v>812.32899999999995</v>
      </c>
      <c r="F997" s="38">
        <v>1274</v>
      </c>
      <c r="G997" s="38">
        <v>50</v>
      </c>
      <c r="H997" s="46">
        <v>600</v>
      </c>
      <c r="I997" s="38">
        <v>695</v>
      </c>
      <c r="J997" s="38">
        <v>0</v>
      </c>
      <c r="K997" s="39"/>
      <c r="L997" s="39"/>
      <c r="M997" s="39"/>
      <c r="N997" s="39"/>
      <c r="O997" s="39"/>
      <c r="P997" s="39"/>
      <c r="Q997" s="39"/>
      <c r="R997" s="39"/>
      <c r="S997" s="39"/>
      <c r="T997" s="39"/>
    </row>
    <row r="998" spans="1:20" ht="15.75">
      <c r="A998" s="13">
        <v>71528</v>
      </c>
      <c r="B998" s="47">
        <f t="shared" si="6"/>
        <v>31</v>
      </c>
      <c r="C998" s="38">
        <v>131.881</v>
      </c>
      <c r="D998" s="38">
        <v>277.16699999999997</v>
      </c>
      <c r="E998" s="44">
        <v>829.952</v>
      </c>
      <c r="F998" s="38">
        <v>1239</v>
      </c>
      <c r="G998" s="38">
        <v>75</v>
      </c>
      <c r="H998" s="46">
        <v>600</v>
      </c>
      <c r="I998" s="38">
        <v>695</v>
      </c>
      <c r="J998" s="38">
        <v>0</v>
      </c>
      <c r="K998" s="39"/>
      <c r="L998" s="39"/>
      <c r="M998" s="39"/>
      <c r="N998" s="39"/>
      <c r="O998" s="39"/>
      <c r="P998" s="39"/>
      <c r="Q998" s="39"/>
      <c r="R998" s="39"/>
      <c r="S998" s="39"/>
      <c r="T998" s="39"/>
    </row>
    <row r="999" spans="1:20" ht="15.75">
      <c r="A999" s="13">
        <v>71558</v>
      </c>
      <c r="B999" s="47">
        <f t="shared" si="6"/>
        <v>30</v>
      </c>
      <c r="C999" s="38">
        <v>122.58</v>
      </c>
      <c r="D999" s="38">
        <v>297.94099999999997</v>
      </c>
      <c r="E999" s="44">
        <v>729.47900000000004</v>
      </c>
      <c r="F999" s="38">
        <v>1150</v>
      </c>
      <c r="G999" s="38">
        <v>100</v>
      </c>
      <c r="H999" s="46">
        <v>600</v>
      </c>
      <c r="I999" s="38">
        <v>695</v>
      </c>
      <c r="J999" s="38">
        <v>50</v>
      </c>
      <c r="K999" s="39"/>
      <c r="L999" s="39"/>
      <c r="M999" s="39"/>
      <c r="N999" s="39"/>
      <c r="O999" s="39"/>
      <c r="P999" s="39"/>
      <c r="Q999" s="39"/>
      <c r="R999" s="39"/>
      <c r="S999" s="39"/>
      <c r="T999" s="39"/>
    </row>
    <row r="1000" spans="1:20" ht="15.75">
      <c r="A1000" s="13">
        <v>71589</v>
      </c>
      <c r="B1000" s="47">
        <f t="shared" si="6"/>
        <v>31</v>
      </c>
      <c r="C1000" s="38">
        <v>122.58</v>
      </c>
      <c r="D1000" s="38">
        <v>297.94099999999997</v>
      </c>
      <c r="E1000" s="44">
        <v>729.47900000000004</v>
      </c>
      <c r="F1000" s="38">
        <v>1150</v>
      </c>
      <c r="G1000" s="38">
        <v>100</v>
      </c>
      <c r="H1000" s="46">
        <v>600</v>
      </c>
      <c r="I1000" s="38">
        <v>695</v>
      </c>
      <c r="J1000" s="38">
        <v>50</v>
      </c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</row>
    <row r="1001" spans="1:20" ht="15.75">
      <c r="A1001" s="13">
        <v>71620</v>
      </c>
      <c r="B1001" s="47">
        <f t="shared" si="6"/>
        <v>31</v>
      </c>
      <c r="C1001" s="38">
        <v>122.58</v>
      </c>
      <c r="D1001" s="38">
        <v>297.94099999999997</v>
      </c>
      <c r="E1001" s="44">
        <v>729.47900000000004</v>
      </c>
      <c r="F1001" s="38">
        <v>1150</v>
      </c>
      <c r="G1001" s="38">
        <v>100</v>
      </c>
      <c r="H1001" s="46">
        <v>600</v>
      </c>
      <c r="I1001" s="38">
        <v>695</v>
      </c>
      <c r="J1001" s="38">
        <v>50</v>
      </c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</row>
    <row r="1002" spans="1:20" ht="15.75">
      <c r="A1002" s="13">
        <v>71649</v>
      </c>
      <c r="B1002" s="47">
        <f t="shared" si="6"/>
        <v>29</v>
      </c>
      <c r="C1002" s="38">
        <v>122.58</v>
      </c>
      <c r="D1002" s="38">
        <v>297.94099999999997</v>
      </c>
      <c r="E1002" s="44">
        <v>729.47900000000004</v>
      </c>
      <c r="F1002" s="38">
        <v>1150</v>
      </c>
      <c r="G1002" s="38">
        <v>100</v>
      </c>
      <c r="H1002" s="46">
        <v>600</v>
      </c>
      <c r="I1002" s="38">
        <v>695</v>
      </c>
      <c r="J1002" s="38">
        <v>50</v>
      </c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</row>
    <row r="1003" spans="1:20" ht="15.75">
      <c r="A1003" s="13">
        <v>71680</v>
      </c>
      <c r="B1003" s="47">
        <f t="shared" si="6"/>
        <v>31</v>
      </c>
      <c r="C1003" s="38">
        <v>122.58</v>
      </c>
      <c r="D1003" s="38">
        <v>297.94099999999997</v>
      </c>
      <c r="E1003" s="44">
        <v>729.47900000000004</v>
      </c>
      <c r="F1003" s="38">
        <v>1150</v>
      </c>
      <c r="G1003" s="38">
        <v>100</v>
      </c>
      <c r="H1003" s="46">
        <v>600</v>
      </c>
      <c r="I1003" s="38">
        <v>695</v>
      </c>
      <c r="J1003" s="38">
        <v>50</v>
      </c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</row>
    <row r="1004" spans="1:20" ht="15.75">
      <c r="A1004" s="13">
        <v>71710</v>
      </c>
      <c r="B1004" s="47">
        <f t="shared" si="6"/>
        <v>30</v>
      </c>
      <c r="C1004" s="38">
        <v>141.29300000000001</v>
      </c>
      <c r="D1004" s="38">
        <v>267.99299999999999</v>
      </c>
      <c r="E1004" s="44">
        <v>829.71400000000006</v>
      </c>
      <c r="F1004" s="38">
        <v>1239</v>
      </c>
      <c r="G1004" s="38">
        <v>100</v>
      </c>
      <c r="H1004" s="46">
        <v>600</v>
      </c>
      <c r="I1004" s="38">
        <v>695</v>
      </c>
      <c r="J1004" s="38">
        <v>50</v>
      </c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</row>
    <row r="1005" spans="1:20" ht="15.75">
      <c r="A1005" s="13">
        <v>71741</v>
      </c>
      <c r="B1005" s="47">
        <f t="shared" si="6"/>
        <v>31</v>
      </c>
      <c r="C1005" s="38">
        <v>194.20500000000001</v>
      </c>
      <c r="D1005" s="38">
        <v>267.46600000000001</v>
      </c>
      <c r="E1005" s="44">
        <v>812.32899999999995</v>
      </c>
      <c r="F1005" s="38">
        <v>1274</v>
      </c>
      <c r="G1005" s="38">
        <v>75</v>
      </c>
      <c r="H1005" s="46">
        <v>600</v>
      </c>
      <c r="I1005" s="38">
        <v>695</v>
      </c>
      <c r="J1005" s="38">
        <v>50</v>
      </c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</row>
    <row r="1006" spans="1:20" ht="15.75">
      <c r="A1006" s="13">
        <v>71771</v>
      </c>
      <c r="B1006" s="47">
        <f t="shared" si="6"/>
        <v>30</v>
      </c>
      <c r="C1006" s="38">
        <v>194.20500000000001</v>
      </c>
      <c r="D1006" s="38">
        <v>267.46600000000001</v>
      </c>
      <c r="E1006" s="44">
        <v>812.32899999999995</v>
      </c>
      <c r="F1006" s="38">
        <v>1274</v>
      </c>
      <c r="G1006" s="38">
        <v>50</v>
      </c>
      <c r="H1006" s="46">
        <v>600</v>
      </c>
      <c r="I1006" s="38">
        <v>695</v>
      </c>
      <c r="J1006" s="38">
        <v>50</v>
      </c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</row>
    <row r="1007" spans="1:20" ht="15.75">
      <c r="A1007" s="13">
        <v>71802</v>
      </c>
      <c r="B1007" s="47">
        <f t="shared" si="6"/>
        <v>31</v>
      </c>
      <c r="C1007" s="38">
        <v>194.20500000000001</v>
      </c>
      <c r="D1007" s="38">
        <v>267.46600000000001</v>
      </c>
      <c r="E1007" s="44">
        <v>812.32899999999995</v>
      </c>
      <c r="F1007" s="38">
        <v>1274</v>
      </c>
      <c r="G1007" s="38">
        <v>50</v>
      </c>
      <c r="H1007" s="46">
        <v>600</v>
      </c>
      <c r="I1007" s="38">
        <v>695</v>
      </c>
      <c r="J1007" s="38">
        <v>0</v>
      </c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</row>
    <row r="1008" spans="1:20" ht="15.75">
      <c r="A1008" s="13">
        <v>71833</v>
      </c>
      <c r="B1008" s="47">
        <f t="shared" si="6"/>
        <v>31</v>
      </c>
      <c r="C1008" s="38">
        <v>194.20500000000001</v>
      </c>
      <c r="D1008" s="38">
        <v>267.46600000000001</v>
      </c>
      <c r="E1008" s="44">
        <v>812.32899999999995</v>
      </c>
      <c r="F1008" s="38">
        <v>1274</v>
      </c>
      <c r="G1008" s="38">
        <v>50</v>
      </c>
      <c r="H1008" s="46">
        <v>600</v>
      </c>
      <c r="I1008" s="38">
        <v>695</v>
      </c>
      <c r="J1008" s="38">
        <v>0</v>
      </c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</row>
    <row r="1009" spans="1:20" ht="15.75">
      <c r="A1009" s="13">
        <v>71863</v>
      </c>
      <c r="B1009" s="47">
        <f t="shared" si="6"/>
        <v>30</v>
      </c>
      <c r="C1009" s="38">
        <v>194.20500000000001</v>
      </c>
      <c r="D1009" s="38">
        <v>267.46600000000001</v>
      </c>
      <c r="E1009" s="44">
        <v>812.32899999999995</v>
      </c>
      <c r="F1009" s="38">
        <v>1274</v>
      </c>
      <c r="G1009" s="38">
        <v>50</v>
      </c>
      <c r="H1009" s="46">
        <v>600</v>
      </c>
      <c r="I1009" s="38">
        <v>695</v>
      </c>
      <c r="J1009" s="38">
        <v>0</v>
      </c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</row>
    <row r="1010" spans="1:20" ht="15.75">
      <c r="A1010" s="13">
        <v>71894</v>
      </c>
      <c r="B1010" s="47">
        <f t="shared" si="6"/>
        <v>31</v>
      </c>
      <c r="C1010" s="38">
        <v>131.881</v>
      </c>
      <c r="D1010" s="38">
        <v>277.16699999999997</v>
      </c>
      <c r="E1010" s="44">
        <v>829.952</v>
      </c>
      <c r="F1010" s="38">
        <v>1239</v>
      </c>
      <c r="G1010" s="38">
        <v>75</v>
      </c>
      <c r="H1010" s="46">
        <v>600</v>
      </c>
      <c r="I1010" s="38">
        <v>695</v>
      </c>
      <c r="J1010" s="38">
        <v>0</v>
      </c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</row>
    <row r="1011" spans="1:20" ht="15.75">
      <c r="A1011" s="13">
        <v>71924</v>
      </c>
      <c r="B1011" s="47">
        <f t="shared" si="6"/>
        <v>30</v>
      </c>
      <c r="C1011" s="38">
        <v>122.58</v>
      </c>
      <c r="D1011" s="38">
        <v>297.94099999999997</v>
      </c>
      <c r="E1011" s="44">
        <v>729.47900000000004</v>
      </c>
      <c r="F1011" s="38">
        <v>1150</v>
      </c>
      <c r="G1011" s="38">
        <v>100</v>
      </c>
      <c r="H1011" s="46">
        <v>600</v>
      </c>
      <c r="I1011" s="38">
        <v>695</v>
      </c>
      <c r="J1011" s="38">
        <v>50</v>
      </c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</row>
    <row r="1012" spans="1:20" ht="15.75">
      <c r="A1012" s="13">
        <v>71955</v>
      </c>
      <c r="B1012" s="47">
        <f t="shared" si="6"/>
        <v>31</v>
      </c>
      <c r="C1012" s="38">
        <v>122.58</v>
      </c>
      <c r="D1012" s="38">
        <v>297.94099999999997</v>
      </c>
      <c r="E1012" s="44">
        <v>729.47900000000004</v>
      </c>
      <c r="F1012" s="38">
        <v>1150</v>
      </c>
      <c r="G1012" s="38">
        <v>100</v>
      </c>
      <c r="H1012" s="46">
        <v>600</v>
      </c>
      <c r="I1012" s="38">
        <v>695</v>
      </c>
      <c r="J1012" s="38">
        <v>50</v>
      </c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</row>
    <row r="1013" spans="1:20" ht="15.75">
      <c r="A1013" s="13">
        <v>71986</v>
      </c>
      <c r="B1013" s="47">
        <f t="shared" si="6"/>
        <v>31</v>
      </c>
      <c r="C1013" s="38">
        <v>122.58</v>
      </c>
      <c r="D1013" s="38">
        <v>297.94099999999997</v>
      </c>
      <c r="E1013" s="44">
        <v>729.47900000000004</v>
      </c>
      <c r="F1013" s="38">
        <v>1150</v>
      </c>
      <c r="G1013" s="38">
        <v>100</v>
      </c>
      <c r="H1013" s="46">
        <v>600</v>
      </c>
      <c r="I1013" s="38">
        <v>695</v>
      </c>
      <c r="J1013" s="38">
        <v>50</v>
      </c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</row>
    <row r="1014" spans="1:20" ht="15.75">
      <c r="A1014" s="13">
        <v>72014</v>
      </c>
      <c r="B1014" s="47">
        <f t="shared" si="6"/>
        <v>28</v>
      </c>
      <c r="C1014" s="38">
        <v>122.58</v>
      </c>
      <c r="D1014" s="38">
        <v>297.94099999999997</v>
      </c>
      <c r="E1014" s="44">
        <v>729.47900000000004</v>
      </c>
      <c r="F1014" s="38">
        <v>1150</v>
      </c>
      <c r="G1014" s="38">
        <v>100</v>
      </c>
      <c r="H1014" s="46">
        <v>600</v>
      </c>
      <c r="I1014" s="38">
        <v>695</v>
      </c>
      <c r="J1014" s="38">
        <v>50</v>
      </c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</row>
    <row r="1015" spans="1:20" ht="15.75">
      <c r="A1015" s="13">
        <v>72045</v>
      </c>
      <c r="B1015" s="47">
        <f t="shared" si="6"/>
        <v>31</v>
      </c>
      <c r="C1015" s="38">
        <v>122.58</v>
      </c>
      <c r="D1015" s="38">
        <v>297.94099999999997</v>
      </c>
      <c r="E1015" s="44">
        <v>729.47900000000004</v>
      </c>
      <c r="F1015" s="38">
        <v>1150</v>
      </c>
      <c r="G1015" s="38">
        <v>100</v>
      </c>
      <c r="H1015" s="46">
        <v>600</v>
      </c>
      <c r="I1015" s="38">
        <v>695</v>
      </c>
      <c r="J1015" s="38">
        <v>50</v>
      </c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</row>
    <row r="1016" spans="1:20" ht="15.75">
      <c r="A1016" s="13">
        <v>72075</v>
      </c>
      <c r="B1016" s="47">
        <f t="shared" si="6"/>
        <v>30</v>
      </c>
      <c r="C1016" s="38">
        <v>141.29300000000001</v>
      </c>
      <c r="D1016" s="38">
        <v>267.99299999999999</v>
      </c>
      <c r="E1016" s="44">
        <v>829.71400000000006</v>
      </c>
      <c r="F1016" s="38">
        <v>1239</v>
      </c>
      <c r="G1016" s="38">
        <v>100</v>
      </c>
      <c r="H1016" s="46">
        <v>600</v>
      </c>
      <c r="I1016" s="38">
        <v>695</v>
      </c>
      <c r="J1016" s="38">
        <v>50</v>
      </c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</row>
    <row r="1017" spans="1:20" ht="15.75">
      <c r="A1017" s="13">
        <v>72106</v>
      </c>
      <c r="B1017" s="47">
        <f t="shared" si="6"/>
        <v>31</v>
      </c>
      <c r="C1017" s="38">
        <v>194.20500000000001</v>
      </c>
      <c r="D1017" s="38">
        <v>267.46600000000001</v>
      </c>
      <c r="E1017" s="44">
        <v>812.32899999999995</v>
      </c>
      <c r="F1017" s="38">
        <v>1274</v>
      </c>
      <c r="G1017" s="38">
        <v>75</v>
      </c>
      <c r="H1017" s="46">
        <v>600</v>
      </c>
      <c r="I1017" s="38">
        <v>695</v>
      </c>
      <c r="J1017" s="38">
        <v>50</v>
      </c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</row>
    <row r="1018" spans="1:20" ht="15.75">
      <c r="A1018" s="13">
        <v>72136</v>
      </c>
      <c r="B1018" s="47">
        <f t="shared" si="6"/>
        <v>30</v>
      </c>
      <c r="C1018" s="38">
        <v>194.20500000000001</v>
      </c>
      <c r="D1018" s="38">
        <v>267.46600000000001</v>
      </c>
      <c r="E1018" s="44">
        <v>812.32899999999995</v>
      </c>
      <c r="F1018" s="38">
        <v>1274</v>
      </c>
      <c r="G1018" s="38">
        <v>50</v>
      </c>
      <c r="H1018" s="46">
        <v>600</v>
      </c>
      <c r="I1018" s="38">
        <v>695</v>
      </c>
      <c r="J1018" s="38">
        <v>50</v>
      </c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</row>
    <row r="1019" spans="1:20" ht="15.75">
      <c r="A1019" s="13">
        <v>72167</v>
      </c>
      <c r="B1019" s="47">
        <f t="shared" si="6"/>
        <v>31</v>
      </c>
      <c r="C1019" s="38">
        <v>194.20500000000001</v>
      </c>
      <c r="D1019" s="38">
        <v>267.46600000000001</v>
      </c>
      <c r="E1019" s="44">
        <v>812.32899999999995</v>
      </c>
      <c r="F1019" s="38">
        <v>1274</v>
      </c>
      <c r="G1019" s="38">
        <v>50</v>
      </c>
      <c r="H1019" s="46">
        <v>600</v>
      </c>
      <c r="I1019" s="38">
        <v>695</v>
      </c>
      <c r="J1019" s="38">
        <v>0</v>
      </c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</row>
    <row r="1020" spans="1:20" ht="15.75">
      <c r="A1020" s="13">
        <v>72198</v>
      </c>
      <c r="B1020" s="47">
        <f t="shared" si="6"/>
        <v>31</v>
      </c>
      <c r="C1020" s="38">
        <v>194.20500000000001</v>
      </c>
      <c r="D1020" s="38">
        <v>267.46600000000001</v>
      </c>
      <c r="E1020" s="44">
        <v>812.32899999999995</v>
      </c>
      <c r="F1020" s="38">
        <v>1274</v>
      </c>
      <c r="G1020" s="38">
        <v>50</v>
      </c>
      <c r="H1020" s="46">
        <v>600</v>
      </c>
      <c r="I1020" s="38">
        <v>695</v>
      </c>
      <c r="J1020" s="38">
        <v>0</v>
      </c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</row>
    <row r="1021" spans="1:20" ht="15.75">
      <c r="A1021" s="13">
        <v>72228</v>
      </c>
      <c r="B1021" s="47">
        <f t="shared" si="6"/>
        <v>30</v>
      </c>
      <c r="C1021" s="38">
        <v>194.20500000000001</v>
      </c>
      <c r="D1021" s="38">
        <v>267.46600000000001</v>
      </c>
      <c r="E1021" s="44">
        <v>812.32899999999995</v>
      </c>
      <c r="F1021" s="38">
        <v>1274</v>
      </c>
      <c r="G1021" s="38">
        <v>50</v>
      </c>
      <c r="H1021" s="46">
        <v>600</v>
      </c>
      <c r="I1021" s="38">
        <v>695</v>
      </c>
      <c r="J1021" s="38">
        <v>0</v>
      </c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</row>
    <row r="1022" spans="1:20" ht="15.75">
      <c r="A1022" s="13">
        <v>72259</v>
      </c>
      <c r="B1022" s="47">
        <f t="shared" si="6"/>
        <v>31</v>
      </c>
      <c r="C1022" s="38">
        <v>131.881</v>
      </c>
      <c r="D1022" s="38">
        <v>277.16699999999997</v>
      </c>
      <c r="E1022" s="44">
        <v>829.952</v>
      </c>
      <c r="F1022" s="38">
        <v>1239</v>
      </c>
      <c r="G1022" s="38">
        <v>75</v>
      </c>
      <c r="H1022" s="46">
        <v>600</v>
      </c>
      <c r="I1022" s="38">
        <v>695</v>
      </c>
      <c r="J1022" s="38">
        <v>0</v>
      </c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</row>
    <row r="1023" spans="1:20" ht="15.75">
      <c r="A1023" s="13">
        <v>72289</v>
      </c>
      <c r="B1023" s="47">
        <f t="shared" si="6"/>
        <v>30</v>
      </c>
      <c r="C1023" s="38">
        <v>122.58</v>
      </c>
      <c r="D1023" s="38">
        <v>297.94099999999997</v>
      </c>
      <c r="E1023" s="44">
        <v>729.47900000000004</v>
      </c>
      <c r="F1023" s="38">
        <v>1150</v>
      </c>
      <c r="G1023" s="38">
        <v>100</v>
      </c>
      <c r="H1023" s="46">
        <v>600</v>
      </c>
      <c r="I1023" s="38">
        <v>695</v>
      </c>
      <c r="J1023" s="38">
        <v>50</v>
      </c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</row>
    <row r="1024" spans="1:20" ht="15.75">
      <c r="A1024" s="13">
        <v>72320</v>
      </c>
      <c r="B1024" s="47">
        <f t="shared" si="6"/>
        <v>31</v>
      </c>
      <c r="C1024" s="38">
        <v>122.58</v>
      </c>
      <c r="D1024" s="38">
        <v>297.94099999999997</v>
      </c>
      <c r="E1024" s="44">
        <v>729.47900000000004</v>
      </c>
      <c r="F1024" s="38">
        <v>1150</v>
      </c>
      <c r="G1024" s="38">
        <v>100</v>
      </c>
      <c r="H1024" s="46">
        <v>600</v>
      </c>
      <c r="I1024" s="38">
        <v>695</v>
      </c>
      <c r="J1024" s="38">
        <v>50</v>
      </c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</row>
    <row r="1025" spans="1:20" ht="15.75">
      <c r="A1025" s="13">
        <v>72351</v>
      </c>
      <c r="B1025" s="47">
        <f t="shared" si="6"/>
        <v>31</v>
      </c>
      <c r="C1025" s="38">
        <v>122.58</v>
      </c>
      <c r="D1025" s="38">
        <v>297.94099999999997</v>
      </c>
      <c r="E1025" s="44">
        <v>729.47900000000004</v>
      </c>
      <c r="F1025" s="38">
        <v>1150</v>
      </c>
      <c r="G1025" s="38">
        <v>100</v>
      </c>
      <c r="H1025" s="46">
        <v>600</v>
      </c>
      <c r="I1025" s="38">
        <v>695</v>
      </c>
      <c r="J1025" s="38">
        <v>50</v>
      </c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</row>
    <row r="1026" spans="1:20" ht="15.75">
      <c r="A1026" s="13">
        <v>72379</v>
      </c>
      <c r="B1026" s="47">
        <f t="shared" si="6"/>
        <v>28</v>
      </c>
      <c r="C1026" s="38">
        <v>122.58</v>
      </c>
      <c r="D1026" s="38">
        <v>297.94099999999997</v>
      </c>
      <c r="E1026" s="44">
        <v>729.47900000000004</v>
      </c>
      <c r="F1026" s="38">
        <v>1150</v>
      </c>
      <c r="G1026" s="38">
        <v>100</v>
      </c>
      <c r="H1026" s="46">
        <v>600</v>
      </c>
      <c r="I1026" s="38">
        <v>695</v>
      </c>
      <c r="J1026" s="38">
        <v>50</v>
      </c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</row>
    <row r="1027" spans="1:20" ht="15.75">
      <c r="A1027" s="13">
        <v>72410</v>
      </c>
      <c r="B1027" s="47">
        <f t="shared" si="6"/>
        <v>31</v>
      </c>
      <c r="C1027" s="38">
        <v>122.58</v>
      </c>
      <c r="D1027" s="38">
        <v>297.94099999999997</v>
      </c>
      <c r="E1027" s="44">
        <v>729.47900000000004</v>
      </c>
      <c r="F1027" s="38">
        <v>1150</v>
      </c>
      <c r="G1027" s="38">
        <v>100</v>
      </c>
      <c r="H1027" s="46">
        <v>600</v>
      </c>
      <c r="I1027" s="38">
        <v>695</v>
      </c>
      <c r="J1027" s="38">
        <v>50</v>
      </c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</row>
    <row r="1028" spans="1:20" ht="15.75">
      <c r="A1028" s="13">
        <v>72440</v>
      </c>
      <c r="B1028" s="47">
        <f t="shared" si="6"/>
        <v>30</v>
      </c>
      <c r="C1028" s="38">
        <v>141.29300000000001</v>
      </c>
      <c r="D1028" s="38">
        <v>267.99299999999999</v>
      </c>
      <c r="E1028" s="44">
        <v>829.71400000000006</v>
      </c>
      <c r="F1028" s="38">
        <v>1239</v>
      </c>
      <c r="G1028" s="38">
        <v>100</v>
      </c>
      <c r="H1028" s="46">
        <v>600</v>
      </c>
      <c r="I1028" s="38">
        <v>695</v>
      </c>
      <c r="J1028" s="38">
        <v>50</v>
      </c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</row>
    <row r="1029" spans="1:20" ht="15.75">
      <c r="A1029" s="13">
        <v>72471</v>
      </c>
      <c r="B1029" s="47">
        <f t="shared" si="6"/>
        <v>31</v>
      </c>
      <c r="C1029" s="38">
        <v>194.20500000000001</v>
      </c>
      <c r="D1029" s="38">
        <v>267.46600000000001</v>
      </c>
      <c r="E1029" s="44">
        <v>812.32899999999995</v>
      </c>
      <c r="F1029" s="38">
        <v>1274</v>
      </c>
      <c r="G1029" s="38">
        <v>75</v>
      </c>
      <c r="H1029" s="46">
        <v>600</v>
      </c>
      <c r="I1029" s="38">
        <v>695</v>
      </c>
      <c r="J1029" s="38">
        <v>50</v>
      </c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</row>
    <row r="1030" spans="1:20" ht="15.75">
      <c r="A1030" s="13">
        <v>72501</v>
      </c>
      <c r="B1030" s="47">
        <f t="shared" si="6"/>
        <v>30</v>
      </c>
      <c r="C1030" s="38">
        <v>194.20500000000001</v>
      </c>
      <c r="D1030" s="38">
        <v>267.46600000000001</v>
      </c>
      <c r="E1030" s="44">
        <v>812.32899999999995</v>
      </c>
      <c r="F1030" s="38">
        <v>1274</v>
      </c>
      <c r="G1030" s="38">
        <v>50</v>
      </c>
      <c r="H1030" s="46">
        <v>600</v>
      </c>
      <c r="I1030" s="38">
        <v>695</v>
      </c>
      <c r="J1030" s="38">
        <v>50</v>
      </c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</row>
    <row r="1031" spans="1:20" ht="15.75">
      <c r="A1031" s="13">
        <v>72532</v>
      </c>
      <c r="B1031" s="47">
        <f t="shared" si="6"/>
        <v>31</v>
      </c>
      <c r="C1031" s="38">
        <v>194.20500000000001</v>
      </c>
      <c r="D1031" s="38">
        <v>267.46600000000001</v>
      </c>
      <c r="E1031" s="44">
        <v>812.32899999999995</v>
      </c>
      <c r="F1031" s="38">
        <v>1274</v>
      </c>
      <c r="G1031" s="38">
        <v>50</v>
      </c>
      <c r="H1031" s="46">
        <v>600</v>
      </c>
      <c r="I1031" s="38">
        <v>695</v>
      </c>
      <c r="J1031" s="38">
        <v>0</v>
      </c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</row>
    <row r="1032" spans="1:20" ht="15.75">
      <c r="A1032" s="13">
        <v>72563</v>
      </c>
      <c r="B1032" s="47">
        <f t="shared" si="6"/>
        <v>31</v>
      </c>
      <c r="C1032" s="38">
        <v>194.20500000000001</v>
      </c>
      <c r="D1032" s="38">
        <v>267.46600000000001</v>
      </c>
      <c r="E1032" s="44">
        <v>812.32899999999995</v>
      </c>
      <c r="F1032" s="38">
        <v>1274</v>
      </c>
      <c r="G1032" s="38">
        <v>50</v>
      </c>
      <c r="H1032" s="46">
        <v>600</v>
      </c>
      <c r="I1032" s="38">
        <v>695</v>
      </c>
      <c r="J1032" s="38">
        <v>0</v>
      </c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</row>
    <row r="1033" spans="1:20" ht="15.75">
      <c r="A1033" s="13">
        <v>72593</v>
      </c>
      <c r="B1033" s="47">
        <f t="shared" si="6"/>
        <v>30</v>
      </c>
      <c r="C1033" s="38">
        <v>194.20500000000001</v>
      </c>
      <c r="D1033" s="38">
        <v>267.46600000000001</v>
      </c>
      <c r="E1033" s="44">
        <v>812.32899999999995</v>
      </c>
      <c r="F1033" s="38">
        <v>1274</v>
      </c>
      <c r="G1033" s="38">
        <v>50</v>
      </c>
      <c r="H1033" s="46">
        <v>600</v>
      </c>
      <c r="I1033" s="38">
        <v>695</v>
      </c>
      <c r="J1033" s="38">
        <v>0</v>
      </c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</row>
    <row r="1034" spans="1:20" ht="15.75">
      <c r="A1034" s="13">
        <v>72624</v>
      </c>
      <c r="B1034" s="47">
        <f t="shared" si="6"/>
        <v>31</v>
      </c>
      <c r="C1034" s="38">
        <v>131.881</v>
      </c>
      <c r="D1034" s="38">
        <v>277.16699999999997</v>
      </c>
      <c r="E1034" s="44">
        <v>829.952</v>
      </c>
      <c r="F1034" s="38">
        <v>1239</v>
      </c>
      <c r="G1034" s="38">
        <v>75</v>
      </c>
      <c r="H1034" s="46">
        <v>600</v>
      </c>
      <c r="I1034" s="38">
        <v>695</v>
      </c>
      <c r="J1034" s="38">
        <v>0</v>
      </c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</row>
    <row r="1035" spans="1:20" ht="15.75">
      <c r="A1035" s="13">
        <v>72654</v>
      </c>
      <c r="B1035" s="47">
        <f t="shared" si="6"/>
        <v>30</v>
      </c>
      <c r="C1035" s="38">
        <v>122.58</v>
      </c>
      <c r="D1035" s="38">
        <v>297.94099999999997</v>
      </c>
      <c r="E1035" s="44">
        <v>729.47900000000004</v>
      </c>
      <c r="F1035" s="38">
        <v>1150</v>
      </c>
      <c r="G1035" s="38">
        <v>100</v>
      </c>
      <c r="H1035" s="46">
        <v>600</v>
      </c>
      <c r="I1035" s="38">
        <v>695</v>
      </c>
      <c r="J1035" s="38">
        <v>50</v>
      </c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</row>
    <row r="1036" spans="1:20" ht="15.75">
      <c r="A1036" s="13">
        <v>72685</v>
      </c>
      <c r="B1036" s="47">
        <f t="shared" si="6"/>
        <v>31</v>
      </c>
      <c r="C1036" s="38">
        <v>122.58</v>
      </c>
      <c r="D1036" s="38">
        <v>297.94099999999997</v>
      </c>
      <c r="E1036" s="44">
        <v>729.47900000000004</v>
      </c>
      <c r="F1036" s="38">
        <v>1150</v>
      </c>
      <c r="G1036" s="38">
        <v>100</v>
      </c>
      <c r="H1036" s="46">
        <v>600</v>
      </c>
      <c r="I1036" s="38">
        <v>695</v>
      </c>
      <c r="J1036" s="38">
        <v>50</v>
      </c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</row>
    <row r="1037" spans="1:20" ht="15.75">
      <c r="A1037" s="13">
        <v>72716</v>
      </c>
      <c r="B1037" s="47">
        <f t="shared" si="6"/>
        <v>31</v>
      </c>
      <c r="C1037" s="38">
        <v>122.58</v>
      </c>
      <c r="D1037" s="38">
        <v>297.94099999999997</v>
      </c>
      <c r="E1037" s="44">
        <v>729.47900000000004</v>
      </c>
      <c r="F1037" s="38">
        <v>1150</v>
      </c>
      <c r="G1037" s="38">
        <v>100</v>
      </c>
      <c r="H1037" s="46">
        <v>600</v>
      </c>
      <c r="I1037" s="38">
        <v>695</v>
      </c>
      <c r="J1037" s="38">
        <v>50</v>
      </c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</row>
    <row r="1038" spans="1:20" ht="15.75">
      <c r="A1038" s="13">
        <v>72744</v>
      </c>
      <c r="B1038" s="47">
        <f t="shared" si="6"/>
        <v>28</v>
      </c>
      <c r="C1038" s="38">
        <v>122.58</v>
      </c>
      <c r="D1038" s="38">
        <v>297.94099999999997</v>
      </c>
      <c r="E1038" s="44">
        <v>729.47900000000004</v>
      </c>
      <c r="F1038" s="38">
        <v>1150</v>
      </c>
      <c r="G1038" s="38">
        <v>100</v>
      </c>
      <c r="H1038" s="46">
        <v>600</v>
      </c>
      <c r="I1038" s="38">
        <v>695</v>
      </c>
      <c r="J1038" s="38">
        <v>50</v>
      </c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</row>
    <row r="1039" spans="1:20" ht="15.75">
      <c r="A1039" s="13">
        <v>72775</v>
      </c>
      <c r="B1039" s="47">
        <f t="shared" si="6"/>
        <v>31</v>
      </c>
      <c r="C1039" s="38">
        <v>122.58</v>
      </c>
      <c r="D1039" s="38">
        <v>297.94099999999997</v>
      </c>
      <c r="E1039" s="44">
        <v>729.47900000000004</v>
      </c>
      <c r="F1039" s="38">
        <v>1150</v>
      </c>
      <c r="G1039" s="38">
        <v>100</v>
      </c>
      <c r="H1039" s="46">
        <v>600</v>
      </c>
      <c r="I1039" s="38">
        <v>695</v>
      </c>
      <c r="J1039" s="38">
        <v>50</v>
      </c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</row>
    <row r="1040" spans="1:20" ht="15.75">
      <c r="A1040" s="13">
        <v>72805</v>
      </c>
      <c r="B1040" s="47">
        <f t="shared" si="6"/>
        <v>30</v>
      </c>
      <c r="C1040" s="38">
        <v>141.29300000000001</v>
      </c>
      <c r="D1040" s="38">
        <v>267.99299999999999</v>
      </c>
      <c r="E1040" s="44">
        <v>829.71400000000006</v>
      </c>
      <c r="F1040" s="38">
        <v>1239</v>
      </c>
      <c r="G1040" s="38">
        <v>100</v>
      </c>
      <c r="H1040" s="46">
        <v>600</v>
      </c>
      <c r="I1040" s="38">
        <v>695</v>
      </c>
      <c r="J1040" s="38">
        <v>50</v>
      </c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</row>
    <row r="1041" spans="1:20" ht="15.75">
      <c r="A1041" s="13">
        <v>72836</v>
      </c>
      <c r="B1041" s="47">
        <f t="shared" ref="B1041:B1060" si="7">EOMONTH(A1041,0)-EOMONTH(A1041,-1)</f>
        <v>31</v>
      </c>
      <c r="C1041" s="38">
        <v>194.20500000000001</v>
      </c>
      <c r="D1041" s="38">
        <v>267.46600000000001</v>
      </c>
      <c r="E1041" s="44">
        <v>812.32899999999995</v>
      </c>
      <c r="F1041" s="38">
        <v>1274</v>
      </c>
      <c r="G1041" s="38">
        <v>75</v>
      </c>
      <c r="H1041" s="46">
        <v>600</v>
      </c>
      <c r="I1041" s="38">
        <v>695</v>
      </c>
      <c r="J1041" s="38">
        <v>50</v>
      </c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</row>
    <row r="1042" spans="1:20" ht="15.75">
      <c r="A1042" s="13">
        <v>72866</v>
      </c>
      <c r="B1042" s="47">
        <f t="shared" si="7"/>
        <v>30</v>
      </c>
      <c r="C1042" s="38">
        <v>194.20500000000001</v>
      </c>
      <c r="D1042" s="38">
        <v>267.46600000000001</v>
      </c>
      <c r="E1042" s="44">
        <v>812.32899999999995</v>
      </c>
      <c r="F1042" s="38">
        <v>1274</v>
      </c>
      <c r="G1042" s="38">
        <v>50</v>
      </c>
      <c r="H1042" s="46">
        <v>600</v>
      </c>
      <c r="I1042" s="38">
        <v>695</v>
      </c>
      <c r="J1042" s="38">
        <v>50</v>
      </c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</row>
    <row r="1043" spans="1:20" ht="15.75">
      <c r="A1043" s="13">
        <v>72897</v>
      </c>
      <c r="B1043" s="47">
        <f t="shared" si="7"/>
        <v>31</v>
      </c>
      <c r="C1043" s="38">
        <v>194.20500000000001</v>
      </c>
      <c r="D1043" s="38">
        <v>267.46600000000001</v>
      </c>
      <c r="E1043" s="44">
        <v>812.32899999999995</v>
      </c>
      <c r="F1043" s="38">
        <v>1274</v>
      </c>
      <c r="G1043" s="38">
        <v>50</v>
      </c>
      <c r="H1043" s="46">
        <v>600</v>
      </c>
      <c r="I1043" s="38">
        <v>695</v>
      </c>
      <c r="J1043" s="38">
        <v>0</v>
      </c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</row>
    <row r="1044" spans="1:20" ht="15.75">
      <c r="A1044" s="13">
        <v>72928</v>
      </c>
      <c r="B1044" s="47">
        <f t="shared" si="7"/>
        <v>31</v>
      </c>
      <c r="C1044" s="38">
        <v>194.20500000000001</v>
      </c>
      <c r="D1044" s="38">
        <v>267.46600000000001</v>
      </c>
      <c r="E1044" s="44">
        <v>812.32899999999995</v>
      </c>
      <c r="F1044" s="38">
        <v>1274</v>
      </c>
      <c r="G1044" s="38">
        <v>50</v>
      </c>
      <c r="H1044" s="46">
        <v>600</v>
      </c>
      <c r="I1044" s="38">
        <v>695</v>
      </c>
      <c r="J1044" s="38">
        <v>0</v>
      </c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</row>
    <row r="1045" spans="1:20" ht="15.75">
      <c r="A1045" s="13">
        <v>72958</v>
      </c>
      <c r="B1045" s="47">
        <f t="shared" si="7"/>
        <v>30</v>
      </c>
      <c r="C1045" s="38">
        <v>194.20500000000001</v>
      </c>
      <c r="D1045" s="38">
        <v>267.46600000000001</v>
      </c>
      <c r="E1045" s="44">
        <v>812.32899999999995</v>
      </c>
      <c r="F1045" s="38">
        <v>1274</v>
      </c>
      <c r="G1045" s="38">
        <v>50</v>
      </c>
      <c r="H1045" s="46">
        <v>600</v>
      </c>
      <c r="I1045" s="38">
        <v>695</v>
      </c>
      <c r="J1045" s="38">
        <v>0</v>
      </c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</row>
    <row r="1046" spans="1:20" ht="15.75">
      <c r="A1046" s="13">
        <v>72989</v>
      </c>
      <c r="B1046" s="47">
        <f t="shared" si="7"/>
        <v>31</v>
      </c>
      <c r="C1046" s="38">
        <v>131.881</v>
      </c>
      <c r="D1046" s="38">
        <v>277.16699999999997</v>
      </c>
      <c r="E1046" s="44">
        <v>829.952</v>
      </c>
      <c r="F1046" s="38">
        <v>1239</v>
      </c>
      <c r="G1046" s="38">
        <v>75</v>
      </c>
      <c r="H1046" s="46">
        <v>600</v>
      </c>
      <c r="I1046" s="38">
        <v>695</v>
      </c>
      <c r="J1046" s="38">
        <v>0</v>
      </c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</row>
    <row r="1047" spans="1:20" ht="15.75">
      <c r="A1047" s="13">
        <v>73019</v>
      </c>
      <c r="B1047" s="47">
        <f t="shared" si="7"/>
        <v>30</v>
      </c>
      <c r="C1047" s="38">
        <v>122.58</v>
      </c>
      <c r="D1047" s="38">
        <v>297.94099999999997</v>
      </c>
      <c r="E1047" s="44">
        <v>729.47900000000004</v>
      </c>
      <c r="F1047" s="38">
        <v>1150</v>
      </c>
      <c r="G1047" s="38">
        <v>100</v>
      </c>
      <c r="H1047" s="46">
        <v>600</v>
      </c>
      <c r="I1047" s="38">
        <v>695</v>
      </c>
      <c r="J1047" s="38">
        <v>50</v>
      </c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</row>
    <row r="1048" spans="1:20" ht="15.75">
      <c r="A1048" s="13">
        <v>73050</v>
      </c>
      <c r="B1048" s="47">
        <f t="shared" si="7"/>
        <v>31</v>
      </c>
      <c r="C1048" s="38">
        <v>122.58</v>
      </c>
      <c r="D1048" s="38">
        <v>297.94099999999997</v>
      </c>
      <c r="E1048" s="44">
        <v>729.47900000000004</v>
      </c>
      <c r="F1048" s="38">
        <v>1150</v>
      </c>
      <c r="G1048" s="38">
        <v>100</v>
      </c>
      <c r="H1048" s="46">
        <v>600</v>
      </c>
      <c r="I1048" s="38">
        <v>695</v>
      </c>
      <c r="J1048" s="38">
        <v>50</v>
      </c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</row>
    <row r="1049" spans="1:20" ht="15.75">
      <c r="A1049" s="13">
        <v>73081</v>
      </c>
      <c r="B1049" s="47">
        <f t="shared" si="7"/>
        <v>31</v>
      </c>
      <c r="C1049" s="38">
        <v>122.58</v>
      </c>
      <c r="D1049" s="38">
        <v>297.94099999999997</v>
      </c>
      <c r="E1049" s="44">
        <v>729.47900000000004</v>
      </c>
      <c r="F1049" s="38">
        <v>1150</v>
      </c>
      <c r="G1049" s="38">
        <v>100</v>
      </c>
      <c r="H1049" s="46">
        <v>600</v>
      </c>
      <c r="I1049" s="38">
        <v>695</v>
      </c>
      <c r="J1049" s="38">
        <v>50</v>
      </c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</row>
    <row r="1050" spans="1:20" ht="15.75">
      <c r="A1050" s="13">
        <v>73109</v>
      </c>
      <c r="B1050" s="47">
        <f t="shared" si="7"/>
        <v>28</v>
      </c>
      <c r="C1050" s="38">
        <v>122.58</v>
      </c>
      <c r="D1050" s="38">
        <v>297.94099999999997</v>
      </c>
      <c r="E1050" s="44">
        <v>729.47900000000004</v>
      </c>
      <c r="F1050" s="38">
        <v>1150</v>
      </c>
      <c r="G1050" s="38">
        <v>100</v>
      </c>
      <c r="H1050" s="46">
        <v>600</v>
      </c>
      <c r="I1050" s="38">
        <v>695</v>
      </c>
      <c r="J1050" s="38">
        <v>50</v>
      </c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</row>
    <row r="1051" spans="1:20" ht="15.75">
      <c r="A1051" s="13">
        <v>73140</v>
      </c>
      <c r="B1051" s="47">
        <f t="shared" si="7"/>
        <v>31</v>
      </c>
      <c r="C1051" s="38">
        <v>122.58</v>
      </c>
      <c r="D1051" s="38">
        <v>297.94099999999997</v>
      </c>
      <c r="E1051" s="44">
        <v>729.47900000000004</v>
      </c>
      <c r="F1051" s="38">
        <v>1150</v>
      </c>
      <c r="G1051" s="38">
        <v>100</v>
      </c>
      <c r="H1051" s="46">
        <v>600</v>
      </c>
      <c r="I1051" s="38">
        <v>695</v>
      </c>
      <c r="J1051" s="38">
        <v>50</v>
      </c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</row>
    <row r="1052" spans="1:20" ht="15.75">
      <c r="A1052" s="13">
        <v>73170</v>
      </c>
      <c r="B1052" s="47">
        <f t="shared" si="7"/>
        <v>30</v>
      </c>
      <c r="C1052" s="38">
        <v>141.29300000000001</v>
      </c>
      <c r="D1052" s="38">
        <v>267.99299999999999</v>
      </c>
      <c r="E1052" s="44">
        <v>829.71400000000006</v>
      </c>
      <c r="F1052" s="38">
        <v>1239</v>
      </c>
      <c r="G1052" s="38">
        <v>100</v>
      </c>
      <c r="H1052" s="46">
        <v>600</v>
      </c>
      <c r="I1052" s="38">
        <v>695</v>
      </c>
      <c r="J1052" s="38">
        <v>50</v>
      </c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</row>
    <row r="1053" spans="1:20" ht="15.75">
      <c r="A1053" s="13">
        <v>73201</v>
      </c>
      <c r="B1053" s="47">
        <f t="shared" si="7"/>
        <v>31</v>
      </c>
      <c r="C1053" s="38">
        <v>194.20500000000001</v>
      </c>
      <c r="D1053" s="38">
        <v>267.46600000000001</v>
      </c>
      <c r="E1053" s="44">
        <v>812.32899999999995</v>
      </c>
      <c r="F1053" s="38">
        <v>1274</v>
      </c>
      <c r="G1053" s="38">
        <v>75</v>
      </c>
      <c r="H1053" s="46">
        <v>600</v>
      </c>
      <c r="I1053" s="38">
        <v>695</v>
      </c>
      <c r="J1053" s="38">
        <v>50</v>
      </c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</row>
    <row r="1054" spans="1:20" ht="15.75">
      <c r="A1054" s="13">
        <v>73231</v>
      </c>
      <c r="B1054" s="47">
        <f t="shared" si="7"/>
        <v>30</v>
      </c>
      <c r="C1054" s="38">
        <v>194.20500000000001</v>
      </c>
      <c r="D1054" s="38">
        <v>267.46600000000001</v>
      </c>
      <c r="E1054" s="44">
        <v>812.32899999999995</v>
      </c>
      <c r="F1054" s="38">
        <v>1274</v>
      </c>
      <c r="G1054" s="38">
        <v>50</v>
      </c>
      <c r="H1054" s="46">
        <v>600</v>
      </c>
      <c r="I1054" s="38">
        <v>695</v>
      </c>
      <c r="J1054" s="38">
        <v>50</v>
      </c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</row>
    <row r="1055" spans="1:20" ht="15.75">
      <c r="A1055" s="13">
        <v>73262</v>
      </c>
      <c r="B1055" s="47">
        <f t="shared" si="7"/>
        <v>31</v>
      </c>
      <c r="C1055" s="38">
        <v>194.20500000000001</v>
      </c>
      <c r="D1055" s="38">
        <v>267.46600000000001</v>
      </c>
      <c r="E1055" s="44">
        <v>812.32899999999995</v>
      </c>
      <c r="F1055" s="38">
        <v>1274</v>
      </c>
      <c r="G1055" s="38">
        <v>50</v>
      </c>
      <c r="H1055" s="46">
        <v>600</v>
      </c>
      <c r="I1055" s="38">
        <v>695</v>
      </c>
      <c r="J1055" s="38">
        <v>0</v>
      </c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</row>
    <row r="1056" spans="1:20" ht="15.75">
      <c r="A1056" s="13">
        <v>73293</v>
      </c>
      <c r="B1056" s="47">
        <f t="shared" si="7"/>
        <v>31</v>
      </c>
      <c r="C1056" s="38">
        <v>194.20500000000001</v>
      </c>
      <c r="D1056" s="38">
        <v>267.46600000000001</v>
      </c>
      <c r="E1056" s="44">
        <v>812.32899999999995</v>
      </c>
      <c r="F1056" s="38">
        <v>1274</v>
      </c>
      <c r="G1056" s="38">
        <v>50</v>
      </c>
      <c r="H1056" s="46">
        <v>600</v>
      </c>
      <c r="I1056" s="38">
        <v>695</v>
      </c>
      <c r="J1056" s="38">
        <v>0</v>
      </c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</row>
    <row r="1057" spans="1:20" ht="15.75">
      <c r="A1057" s="13">
        <v>73323</v>
      </c>
      <c r="B1057" s="47">
        <f t="shared" si="7"/>
        <v>30</v>
      </c>
      <c r="C1057" s="38">
        <v>194.20500000000001</v>
      </c>
      <c r="D1057" s="38">
        <v>267.46600000000001</v>
      </c>
      <c r="E1057" s="44">
        <v>812.32899999999995</v>
      </c>
      <c r="F1057" s="38">
        <v>1274</v>
      </c>
      <c r="G1057" s="38">
        <v>50</v>
      </c>
      <c r="H1057" s="46">
        <v>600</v>
      </c>
      <c r="I1057" s="38">
        <v>695</v>
      </c>
      <c r="J1057" s="38">
        <v>0</v>
      </c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</row>
    <row r="1058" spans="1:20" ht="15.75">
      <c r="A1058" s="13">
        <v>73354</v>
      </c>
      <c r="B1058" s="47">
        <f t="shared" si="7"/>
        <v>31</v>
      </c>
      <c r="C1058" s="38">
        <v>131.881</v>
      </c>
      <c r="D1058" s="38">
        <v>277.16699999999997</v>
      </c>
      <c r="E1058" s="44">
        <v>829.952</v>
      </c>
      <c r="F1058" s="38">
        <v>1239</v>
      </c>
      <c r="G1058" s="38">
        <v>75</v>
      </c>
      <c r="H1058" s="46">
        <v>600</v>
      </c>
      <c r="I1058" s="38">
        <v>695</v>
      </c>
      <c r="J1058" s="38">
        <v>0</v>
      </c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</row>
    <row r="1059" spans="1:20" ht="15.75">
      <c r="A1059" s="13">
        <v>73384</v>
      </c>
      <c r="B1059" s="47">
        <f t="shared" si="7"/>
        <v>30</v>
      </c>
      <c r="C1059" s="38">
        <v>122.58</v>
      </c>
      <c r="D1059" s="38">
        <v>297.94099999999997</v>
      </c>
      <c r="E1059" s="44">
        <v>729.47900000000004</v>
      </c>
      <c r="F1059" s="38">
        <v>1150</v>
      </c>
      <c r="G1059" s="38">
        <v>100</v>
      </c>
      <c r="H1059" s="46">
        <v>600</v>
      </c>
      <c r="I1059" s="38">
        <v>695</v>
      </c>
      <c r="J1059" s="38">
        <v>50</v>
      </c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</row>
    <row r="1060" spans="1:20" ht="15.75">
      <c r="A1060" s="13">
        <v>73415</v>
      </c>
      <c r="B1060" s="47">
        <f t="shared" si="7"/>
        <v>31</v>
      </c>
      <c r="C1060" s="38">
        <v>122.58</v>
      </c>
      <c r="D1060" s="38">
        <v>297.94099999999997</v>
      </c>
      <c r="E1060" s="44">
        <v>729.47900000000004</v>
      </c>
      <c r="F1060" s="38">
        <v>1150</v>
      </c>
      <c r="G1060" s="38">
        <v>100</v>
      </c>
      <c r="H1060" s="46">
        <v>600</v>
      </c>
      <c r="I1060" s="38">
        <v>695</v>
      </c>
      <c r="J1060" s="38">
        <v>50</v>
      </c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</row>
    <row r="1061" spans="1:20" ht="15">
      <c r="A1061" s="10"/>
      <c r="B1061" s="45"/>
      <c r="C1061" s="38"/>
      <c r="D1061" s="38"/>
      <c r="E1061" s="44"/>
      <c r="F1061" s="38"/>
      <c r="G1061" s="38"/>
      <c r="H1061" s="38"/>
      <c r="I1061" s="38"/>
      <c r="J1061" s="38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</row>
    <row r="1062" spans="1:20" ht="15.75">
      <c r="A1062" s="3">
        <v>2014</v>
      </c>
      <c r="B1062" s="3">
        <f t="shared" ref="B1062:B1093" si="8">DATE(A1062+1,1,1)-DATE(A1062,1,1)</f>
        <v>365</v>
      </c>
      <c r="C1062" s="41">
        <f>AVERAGE(C17:C28)</f>
        <v>154.75825</v>
      </c>
      <c r="D1062" s="41">
        <f>AVERAGE(D17:D28)</f>
        <v>281.0162499999999</v>
      </c>
      <c r="E1062" s="41">
        <f>AVERAGE(E17:E28)</f>
        <v>801.55883333333315</v>
      </c>
      <c r="F1062" s="41">
        <f>AVERAGE(F17:F28)</f>
        <v>1237.3333333333333</v>
      </c>
      <c r="G1062" s="41">
        <f>AVERAGE(G17:G28)</f>
        <v>79.166666666666671</v>
      </c>
      <c r="H1062" s="43"/>
      <c r="I1062" s="41">
        <f>AVERAGE(I17:I28)</f>
        <v>695</v>
      </c>
      <c r="J1062" s="41">
        <f>AVERAGE(J17:J28)</f>
        <v>33.333333333333336</v>
      </c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</row>
    <row r="1063" spans="1:20" ht="15.75">
      <c r="A1063" s="3">
        <v>2015</v>
      </c>
      <c r="B1063" s="3">
        <f t="shared" si="8"/>
        <v>365</v>
      </c>
      <c r="C1063" s="41">
        <f>AVERAGE(C29:C40)</f>
        <v>154.75825</v>
      </c>
      <c r="D1063" s="41">
        <f>AVERAGE(D29:D40)</f>
        <v>281.0162499999999</v>
      </c>
      <c r="E1063" s="41">
        <f>AVERAGE(E29:E40)</f>
        <v>801.55883333333315</v>
      </c>
      <c r="F1063" s="41">
        <f>AVERAGE(F29:F40)</f>
        <v>1237.3333333333333</v>
      </c>
      <c r="G1063" s="41">
        <f>AVERAGE(G29:G40)</f>
        <v>79.166666666666671</v>
      </c>
      <c r="H1063" s="43"/>
      <c r="I1063" s="41">
        <f>AVERAGE(I29:I40)</f>
        <v>695</v>
      </c>
      <c r="J1063" s="41">
        <f>AVERAGE(J29:J40)</f>
        <v>33.333333333333336</v>
      </c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</row>
    <row r="1064" spans="1:20" ht="15.75">
      <c r="A1064" s="3">
        <v>2016</v>
      </c>
      <c r="B1064" s="3">
        <f t="shared" si="8"/>
        <v>366</v>
      </c>
      <c r="C1064" s="41">
        <f>AVERAGE(C41:C52)</f>
        <v>154.75825</v>
      </c>
      <c r="D1064" s="41">
        <f>AVERAGE(D41:D52)</f>
        <v>281.0162499999999</v>
      </c>
      <c r="E1064" s="41">
        <f>AVERAGE(E41:E52)</f>
        <v>780.7254999999999</v>
      </c>
      <c r="F1064" s="41">
        <f>AVERAGE(F41:F52)</f>
        <v>1216.5</v>
      </c>
      <c r="G1064" s="41">
        <f>AVERAGE(G41:G52)</f>
        <v>79.166666666666671</v>
      </c>
      <c r="H1064" s="43"/>
      <c r="I1064" s="41">
        <f>AVERAGE(I41:I52)</f>
        <v>695</v>
      </c>
      <c r="J1064" s="41">
        <f>AVERAGE(J41:J52)</f>
        <v>33.333333333333336</v>
      </c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</row>
    <row r="1065" spans="1:20" ht="15">
      <c r="A1065" s="3">
        <v>2017</v>
      </c>
      <c r="B1065" s="3">
        <f t="shared" si="8"/>
        <v>365</v>
      </c>
      <c r="C1065" s="41">
        <f t="shared" ref="C1065:J1065" si="9">AVERAGE(C53:C64)</f>
        <v>154.75825</v>
      </c>
      <c r="D1065" s="41">
        <f t="shared" si="9"/>
        <v>281.0162499999999</v>
      </c>
      <c r="E1065" s="41">
        <f t="shared" si="9"/>
        <v>780.7254999999999</v>
      </c>
      <c r="F1065" s="41">
        <f t="shared" si="9"/>
        <v>1216.5</v>
      </c>
      <c r="G1065" s="41">
        <f t="shared" si="9"/>
        <v>79.166666666666671</v>
      </c>
      <c r="H1065" s="42">
        <f t="shared" si="9"/>
        <v>400</v>
      </c>
      <c r="I1065" s="41">
        <f t="shared" si="9"/>
        <v>695</v>
      </c>
      <c r="J1065" s="41">
        <f t="shared" si="9"/>
        <v>33.333333333333336</v>
      </c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</row>
    <row r="1066" spans="1:20" ht="15">
      <c r="A1066" s="3">
        <v>2018</v>
      </c>
      <c r="B1066" s="3">
        <f t="shared" si="8"/>
        <v>365</v>
      </c>
      <c r="C1066" s="41">
        <f t="shared" ref="C1066:J1066" si="10">AVERAGE(C65:C76)</f>
        <v>154.75825</v>
      </c>
      <c r="D1066" s="41">
        <f t="shared" si="10"/>
        <v>281.0162499999999</v>
      </c>
      <c r="E1066" s="41">
        <f t="shared" si="10"/>
        <v>780.7254999999999</v>
      </c>
      <c r="F1066" s="41">
        <f t="shared" si="10"/>
        <v>1216.5</v>
      </c>
      <c r="G1066" s="41">
        <f t="shared" si="10"/>
        <v>79.166666666666671</v>
      </c>
      <c r="H1066" s="42">
        <f t="shared" si="10"/>
        <v>400</v>
      </c>
      <c r="I1066" s="41">
        <f t="shared" si="10"/>
        <v>695</v>
      </c>
      <c r="J1066" s="41">
        <f t="shared" si="10"/>
        <v>33.333333333333336</v>
      </c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</row>
    <row r="1067" spans="1:20" ht="15">
      <c r="A1067" s="3">
        <v>2019</v>
      </c>
      <c r="B1067" s="3">
        <f t="shared" si="8"/>
        <v>365</v>
      </c>
      <c r="C1067" s="41">
        <f t="shared" ref="C1067:J1067" si="11">AVERAGE(C77:C88)</f>
        <v>154.75825</v>
      </c>
      <c r="D1067" s="41">
        <f t="shared" si="11"/>
        <v>281.0162499999999</v>
      </c>
      <c r="E1067" s="41">
        <f t="shared" si="11"/>
        <v>780.7254999999999</v>
      </c>
      <c r="F1067" s="41">
        <f t="shared" si="11"/>
        <v>1216.5</v>
      </c>
      <c r="G1067" s="41">
        <f t="shared" si="11"/>
        <v>79.166666666666671</v>
      </c>
      <c r="H1067" s="42">
        <f t="shared" si="11"/>
        <v>400</v>
      </c>
      <c r="I1067" s="41">
        <f t="shared" si="11"/>
        <v>695</v>
      </c>
      <c r="J1067" s="41">
        <f t="shared" si="11"/>
        <v>33.333333333333336</v>
      </c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</row>
    <row r="1068" spans="1:20" ht="15">
      <c r="A1068" s="3">
        <v>2020</v>
      </c>
      <c r="B1068" s="3">
        <f t="shared" si="8"/>
        <v>366</v>
      </c>
      <c r="C1068" s="41">
        <f t="shared" ref="C1068:J1068" si="12">AVERAGE(C89:C100)</f>
        <v>154.75825</v>
      </c>
      <c r="D1068" s="41">
        <f t="shared" si="12"/>
        <v>281.0162499999999</v>
      </c>
      <c r="E1068" s="41">
        <f t="shared" si="12"/>
        <v>780.7254999999999</v>
      </c>
      <c r="F1068" s="41">
        <f t="shared" si="12"/>
        <v>1216.5</v>
      </c>
      <c r="G1068" s="41">
        <f t="shared" si="12"/>
        <v>79.166666666666671</v>
      </c>
      <c r="H1068" s="42">
        <f t="shared" si="12"/>
        <v>533.33333333333337</v>
      </c>
      <c r="I1068" s="41">
        <f t="shared" si="12"/>
        <v>695</v>
      </c>
      <c r="J1068" s="41">
        <f t="shared" si="12"/>
        <v>33.333333333333336</v>
      </c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</row>
    <row r="1069" spans="1:20" ht="15">
      <c r="A1069" s="3">
        <v>2021</v>
      </c>
      <c r="B1069" s="3">
        <f t="shared" si="8"/>
        <v>365</v>
      </c>
      <c r="C1069" s="41">
        <f t="shared" ref="C1069:J1069" si="13">AVERAGE(C101:C112)</f>
        <v>154.75825</v>
      </c>
      <c r="D1069" s="41">
        <f t="shared" si="13"/>
        <v>281.0162499999999</v>
      </c>
      <c r="E1069" s="41">
        <f t="shared" si="13"/>
        <v>780.7254999999999</v>
      </c>
      <c r="F1069" s="41">
        <f t="shared" si="13"/>
        <v>1216.5</v>
      </c>
      <c r="G1069" s="41">
        <f t="shared" si="13"/>
        <v>79.166666666666671</v>
      </c>
      <c r="H1069" s="42">
        <f t="shared" si="13"/>
        <v>600</v>
      </c>
      <c r="I1069" s="41">
        <f t="shared" si="13"/>
        <v>695</v>
      </c>
      <c r="J1069" s="41">
        <f t="shared" si="13"/>
        <v>33.333333333333336</v>
      </c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</row>
    <row r="1070" spans="1:20" ht="15">
      <c r="A1070" s="3">
        <v>2022</v>
      </c>
      <c r="B1070" s="3">
        <f t="shared" si="8"/>
        <v>365</v>
      </c>
      <c r="C1070" s="41">
        <f t="shared" ref="C1070:J1070" si="14">AVERAGE(C113:C124)</f>
        <v>154.75825</v>
      </c>
      <c r="D1070" s="41">
        <f t="shared" si="14"/>
        <v>281.0162499999999</v>
      </c>
      <c r="E1070" s="41">
        <f t="shared" si="14"/>
        <v>780.7254999999999</v>
      </c>
      <c r="F1070" s="41">
        <f t="shared" si="14"/>
        <v>1216.5</v>
      </c>
      <c r="G1070" s="41">
        <f t="shared" si="14"/>
        <v>79.166666666666671</v>
      </c>
      <c r="H1070" s="42">
        <f t="shared" si="14"/>
        <v>600</v>
      </c>
      <c r="I1070" s="41">
        <f t="shared" si="14"/>
        <v>695</v>
      </c>
      <c r="J1070" s="41">
        <f t="shared" si="14"/>
        <v>33.333333333333336</v>
      </c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</row>
    <row r="1071" spans="1:20" ht="15">
      <c r="A1071" s="3">
        <v>2023</v>
      </c>
      <c r="B1071" s="3">
        <f t="shared" si="8"/>
        <v>365</v>
      </c>
      <c r="C1071" s="41">
        <f t="shared" ref="C1071:J1071" si="15">AVERAGE(C125:C136)</f>
        <v>154.75825</v>
      </c>
      <c r="D1071" s="41">
        <f t="shared" si="15"/>
        <v>281.0162499999999</v>
      </c>
      <c r="E1071" s="41">
        <f t="shared" si="15"/>
        <v>780.7254999999999</v>
      </c>
      <c r="F1071" s="41">
        <f t="shared" si="15"/>
        <v>1216.5</v>
      </c>
      <c r="G1071" s="41">
        <f t="shared" si="15"/>
        <v>79.166666666666671</v>
      </c>
      <c r="H1071" s="42">
        <f t="shared" si="15"/>
        <v>600</v>
      </c>
      <c r="I1071" s="41">
        <f t="shared" si="15"/>
        <v>695</v>
      </c>
      <c r="J1071" s="41">
        <f t="shared" si="15"/>
        <v>33.333333333333336</v>
      </c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</row>
    <row r="1072" spans="1:20" ht="15">
      <c r="A1072" s="3">
        <v>2024</v>
      </c>
      <c r="B1072" s="3">
        <f t="shared" si="8"/>
        <v>366</v>
      </c>
      <c r="C1072" s="41">
        <f t="shared" ref="C1072:J1072" si="16">AVERAGE(C137:C148)</f>
        <v>154.75825</v>
      </c>
      <c r="D1072" s="41">
        <f t="shared" si="16"/>
        <v>281.0162499999999</v>
      </c>
      <c r="E1072" s="41">
        <f t="shared" si="16"/>
        <v>780.7254999999999</v>
      </c>
      <c r="F1072" s="41">
        <f t="shared" si="16"/>
        <v>1216.5</v>
      </c>
      <c r="G1072" s="41">
        <f t="shared" si="16"/>
        <v>79.166666666666671</v>
      </c>
      <c r="H1072" s="42">
        <f t="shared" si="16"/>
        <v>600</v>
      </c>
      <c r="I1072" s="41">
        <f t="shared" si="16"/>
        <v>695</v>
      </c>
      <c r="J1072" s="41">
        <f t="shared" si="16"/>
        <v>33.333333333333336</v>
      </c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</row>
    <row r="1073" spans="1:20" ht="15">
      <c r="A1073" s="3">
        <v>2025</v>
      </c>
      <c r="B1073" s="3">
        <f t="shared" si="8"/>
        <v>365</v>
      </c>
      <c r="C1073" s="41">
        <f t="shared" ref="C1073:J1073" si="17">AVERAGE(C149:C160)</f>
        <v>154.75825</v>
      </c>
      <c r="D1073" s="41">
        <f t="shared" si="17"/>
        <v>281.0162499999999</v>
      </c>
      <c r="E1073" s="41">
        <f t="shared" si="17"/>
        <v>780.7254999999999</v>
      </c>
      <c r="F1073" s="41">
        <f t="shared" si="17"/>
        <v>1216.5</v>
      </c>
      <c r="G1073" s="41">
        <f t="shared" si="17"/>
        <v>79.166666666666671</v>
      </c>
      <c r="H1073" s="42">
        <f t="shared" si="17"/>
        <v>600</v>
      </c>
      <c r="I1073" s="41">
        <f t="shared" si="17"/>
        <v>695</v>
      </c>
      <c r="J1073" s="41">
        <f t="shared" si="17"/>
        <v>33.333333333333336</v>
      </c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</row>
    <row r="1074" spans="1:20" ht="15">
      <c r="A1074" s="3">
        <v>2026</v>
      </c>
      <c r="B1074" s="3">
        <f t="shared" si="8"/>
        <v>365</v>
      </c>
      <c r="C1074" s="41">
        <f t="shared" ref="C1074:J1074" si="18">AVERAGE(C161:C172)</f>
        <v>154.75825</v>
      </c>
      <c r="D1074" s="41">
        <f t="shared" si="18"/>
        <v>281.0162499999999</v>
      </c>
      <c r="E1074" s="41">
        <f t="shared" si="18"/>
        <v>780.7254999999999</v>
      </c>
      <c r="F1074" s="41">
        <f t="shared" si="18"/>
        <v>1216.5</v>
      </c>
      <c r="G1074" s="41">
        <f t="shared" si="18"/>
        <v>79.166666666666671</v>
      </c>
      <c r="H1074" s="42">
        <f t="shared" si="18"/>
        <v>600</v>
      </c>
      <c r="I1074" s="41">
        <f t="shared" si="18"/>
        <v>695</v>
      </c>
      <c r="J1074" s="41">
        <f t="shared" si="18"/>
        <v>33.333333333333336</v>
      </c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</row>
    <row r="1075" spans="1:20" ht="15">
      <c r="A1075" s="3">
        <v>2027</v>
      </c>
      <c r="B1075" s="3">
        <f t="shared" si="8"/>
        <v>365</v>
      </c>
      <c r="C1075" s="41">
        <f t="shared" ref="C1075:J1075" si="19">AVERAGE(C173:C184)</f>
        <v>154.75825</v>
      </c>
      <c r="D1075" s="41">
        <f t="shared" si="19"/>
        <v>281.0162499999999</v>
      </c>
      <c r="E1075" s="41">
        <f t="shared" si="19"/>
        <v>780.7254999999999</v>
      </c>
      <c r="F1075" s="41">
        <f t="shared" si="19"/>
        <v>1216.5</v>
      </c>
      <c r="G1075" s="41">
        <f t="shared" si="19"/>
        <v>79.166666666666671</v>
      </c>
      <c r="H1075" s="42">
        <f t="shared" si="19"/>
        <v>600</v>
      </c>
      <c r="I1075" s="41">
        <f t="shared" si="19"/>
        <v>695</v>
      </c>
      <c r="J1075" s="41">
        <f t="shared" si="19"/>
        <v>33.333333333333336</v>
      </c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</row>
    <row r="1076" spans="1:20" ht="15">
      <c r="A1076" s="3">
        <v>2028</v>
      </c>
      <c r="B1076" s="3">
        <f t="shared" si="8"/>
        <v>366</v>
      </c>
      <c r="C1076" s="41">
        <f t="shared" ref="C1076:J1076" si="20">AVERAGE(C185:C196)</f>
        <v>154.75825</v>
      </c>
      <c r="D1076" s="41">
        <f t="shared" si="20"/>
        <v>281.0162499999999</v>
      </c>
      <c r="E1076" s="41">
        <f t="shared" si="20"/>
        <v>780.7254999999999</v>
      </c>
      <c r="F1076" s="41">
        <f t="shared" si="20"/>
        <v>1216.5</v>
      </c>
      <c r="G1076" s="41">
        <f t="shared" si="20"/>
        <v>79.166666666666671</v>
      </c>
      <c r="H1076" s="42">
        <f t="shared" si="20"/>
        <v>600</v>
      </c>
      <c r="I1076" s="41">
        <f t="shared" si="20"/>
        <v>695</v>
      </c>
      <c r="J1076" s="41">
        <f t="shared" si="20"/>
        <v>33.333333333333336</v>
      </c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</row>
    <row r="1077" spans="1:20" ht="15">
      <c r="A1077" s="3">
        <v>2029</v>
      </c>
      <c r="B1077" s="3">
        <f t="shared" si="8"/>
        <v>365</v>
      </c>
      <c r="C1077" s="41">
        <f t="shared" ref="C1077:J1077" si="21">AVERAGE(C197:C208)</f>
        <v>154.75825</v>
      </c>
      <c r="D1077" s="41">
        <f t="shared" si="21"/>
        <v>281.0162499999999</v>
      </c>
      <c r="E1077" s="41">
        <f t="shared" si="21"/>
        <v>780.7254999999999</v>
      </c>
      <c r="F1077" s="41">
        <f t="shared" si="21"/>
        <v>1216.5</v>
      </c>
      <c r="G1077" s="41">
        <f t="shared" si="21"/>
        <v>79.166666666666671</v>
      </c>
      <c r="H1077" s="42">
        <f t="shared" si="21"/>
        <v>600</v>
      </c>
      <c r="I1077" s="41">
        <f t="shared" si="21"/>
        <v>695</v>
      </c>
      <c r="J1077" s="41">
        <f t="shared" si="21"/>
        <v>33.333333333333336</v>
      </c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</row>
    <row r="1078" spans="1:20" ht="15">
      <c r="A1078" s="3">
        <v>2030</v>
      </c>
      <c r="B1078" s="3">
        <f t="shared" si="8"/>
        <v>365</v>
      </c>
      <c r="C1078" s="41">
        <f t="shared" ref="C1078:J1078" si="22">AVERAGE(C209:C220)</f>
        <v>154.75825</v>
      </c>
      <c r="D1078" s="41">
        <f t="shared" si="22"/>
        <v>281.0162499999999</v>
      </c>
      <c r="E1078" s="41">
        <f t="shared" si="22"/>
        <v>780.7254999999999</v>
      </c>
      <c r="F1078" s="41">
        <f t="shared" si="22"/>
        <v>1216.5</v>
      </c>
      <c r="G1078" s="41">
        <f t="shared" si="22"/>
        <v>79.166666666666671</v>
      </c>
      <c r="H1078" s="42">
        <f t="shared" si="22"/>
        <v>600</v>
      </c>
      <c r="I1078" s="41">
        <f t="shared" si="22"/>
        <v>695</v>
      </c>
      <c r="J1078" s="41">
        <f t="shared" si="22"/>
        <v>33.333333333333336</v>
      </c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</row>
    <row r="1079" spans="1:20" ht="15">
      <c r="A1079" s="3">
        <v>2031</v>
      </c>
      <c r="B1079" s="3">
        <f t="shared" si="8"/>
        <v>365</v>
      </c>
      <c r="C1079" s="41">
        <f t="shared" ref="C1079:J1079" si="23">AVERAGE(C221:C232)</f>
        <v>154.75825</v>
      </c>
      <c r="D1079" s="41">
        <f t="shared" si="23"/>
        <v>281.0162499999999</v>
      </c>
      <c r="E1079" s="41">
        <f t="shared" si="23"/>
        <v>780.7254999999999</v>
      </c>
      <c r="F1079" s="41">
        <f t="shared" si="23"/>
        <v>1216.5</v>
      </c>
      <c r="G1079" s="41">
        <f t="shared" si="23"/>
        <v>79.166666666666671</v>
      </c>
      <c r="H1079" s="42">
        <f t="shared" si="23"/>
        <v>600</v>
      </c>
      <c r="I1079" s="41">
        <f t="shared" si="23"/>
        <v>695</v>
      </c>
      <c r="J1079" s="41">
        <f t="shared" si="23"/>
        <v>33.333333333333336</v>
      </c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</row>
    <row r="1080" spans="1:20" ht="15">
      <c r="A1080" s="3">
        <v>2032</v>
      </c>
      <c r="B1080" s="3">
        <f t="shared" si="8"/>
        <v>366</v>
      </c>
      <c r="C1080" s="41">
        <f t="shared" ref="C1080:J1080" si="24">AVERAGE(C233:C244)</f>
        <v>154.75825</v>
      </c>
      <c r="D1080" s="41">
        <f t="shared" si="24"/>
        <v>281.0162499999999</v>
      </c>
      <c r="E1080" s="41">
        <f t="shared" si="24"/>
        <v>780.7254999999999</v>
      </c>
      <c r="F1080" s="41">
        <f t="shared" si="24"/>
        <v>1216.5</v>
      </c>
      <c r="G1080" s="41">
        <f t="shared" si="24"/>
        <v>79.166666666666671</v>
      </c>
      <c r="H1080" s="42">
        <f t="shared" si="24"/>
        <v>600</v>
      </c>
      <c r="I1080" s="41">
        <f t="shared" si="24"/>
        <v>695</v>
      </c>
      <c r="J1080" s="41">
        <f t="shared" si="24"/>
        <v>33.333333333333336</v>
      </c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</row>
    <row r="1081" spans="1:20" ht="15">
      <c r="A1081" s="3">
        <v>2033</v>
      </c>
      <c r="B1081" s="3">
        <f t="shared" si="8"/>
        <v>365</v>
      </c>
      <c r="C1081" s="41">
        <f t="shared" ref="C1081:J1081" si="25">AVERAGE(C245:C256)</f>
        <v>154.75825</v>
      </c>
      <c r="D1081" s="41">
        <f t="shared" si="25"/>
        <v>281.0162499999999</v>
      </c>
      <c r="E1081" s="41">
        <f t="shared" si="25"/>
        <v>780.7254999999999</v>
      </c>
      <c r="F1081" s="41">
        <f t="shared" si="25"/>
        <v>1216.5</v>
      </c>
      <c r="G1081" s="41">
        <f t="shared" si="25"/>
        <v>79.166666666666671</v>
      </c>
      <c r="H1081" s="42">
        <f t="shared" si="25"/>
        <v>600</v>
      </c>
      <c r="I1081" s="41">
        <f t="shared" si="25"/>
        <v>695</v>
      </c>
      <c r="J1081" s="41">
        <f t="shared" si="25"/>
        <v>33.333333333333336</v>
      </c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</row>
    <row r="1082" spans="1:20" ht="15">
      <c r="A1082" s="3">
        <v>2034</v>
      </c>
      <c r="B1082" s="3">
        <f t="shared" si="8"/>
        <v>365</v>
      </c>
      <c r="C1082" s="41">
        <f t="shared" ref="C1082:J1082" si="26">AVERAGE(C257:C268)</f>
        <v>154.75825</v>
      </c>
      <c r="D1082" s="41">
        <f t="shared" si="26"/>
        <v>281.0162499999999</v>
      </c>
      <c r="E1082" s="41">
        <f t="shared" si="26"/>
        <v>780.7254999999999</v>
      </c>
      <c r="F1082" s="41">
        <f t="shared" si="26"/>
        <v>1216.5</v>
      </c>
      <c r="G1082" s="41">
        <f t="shared" si="26"/>
        <v>79.166666666666671</v>
      </c>
      <c r="H1082" s="42">
        <f t="shared" si="26"/>
        <v>600</v>
      </c>
      <c r="I1082" s="41">
        <f t="shared" si="26"/>
        <v>695</v>
      </c>
      <c r="J1082" s="41">
        <f t="shared" si="26"/>
        <v>33.333333333333336</v>
      </c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</row>
    <row r="1083" spans="1:20" ht="15">
      <c r="A1083" s="3">
        <v>2035</v>
      </c>
      <c r="B1083" s="3">
        <f t="shared" si="8"/>
        <v>365</v>
      </c>
      <c r="C1083" s="41">
        <f t="shared" ref="C1083:J1083" si="27">AVERAGE(C269:C280)</f>
        <v>154.75825</v>
      </c>
      <c r="D1083" s="41">
        <f t="shared" si="27"/>
        <v>281.0162499999999</v>
      </c>
      <c r="E1083" s="41">
        <f t="shared" si="27"/>
        <v>780.7254999999999</v>
      </c>
      <c r="F1083" s="41">
        <f t="shared" si="27"/>
        <v>1216.5</v>
      </c>
      <c r="G1083" s="41">
        <f t="shared" si="27"/>
        <v>79.166666666666671</v>
      </c>
      <c r="H1083" s="42">
        <f t="shared" si="27"/>
        <v>600</v>
      </c>
      <c r="I1083" s="41">
        <f t="shared" si="27"/>
        <v>695</v>
      </c>
      <c r="J1083" s="41">
        <f t="shared" si="27"/>
        <v>33.333333333333336</v>
      </c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</row>
    <row r="1084" spans="1:20" ht="15">
      <c r="A1084" s="3">
        <v>2036</v>
      </c>
      <c r="B1084" s="3">
        <f t="shared" si="8"/>
        <v>366</v>
      </c>
      <c r="C1084" s="41">
        <f t="shared" ref="C1084:J1084" si="28">AVERAGE(C281:C292)</f>
        <v>154.75825</v>
      </c>
      <c r="D1084" s="41">
        <f t="shared" si="28"/>
        <v>281.0162499999999</v>
      </c>
      <c r="E1084" s="41">
        <f t="shared" si="28"/>
        <v>780.7254999999999</v>
      </c>
      <c r="F1084" s="41">
        <f t="shared" si="28"/>
        <v>1216.5</v>
      </c>
      <c r="G1084" s="41">
        <f t="shared" si="28"/>
        <v>79.166666666666671</v>
      </c>
      <c r="H1084" s="42">
        <f t="shared" si="28"/>
        <v>600</v>
      </c>
      <c r="I1084" s="41">
        <f t="shared" si="28"/>
        <v>695</v>
      </c>
      <c r="J1084" s="41">
        <f t="shared" si="28"/>
        <v>33.333333333333336</v>
      </c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</row>
    <row r="1085" spans="1:20" ht="15">
      <c r="A1085" s="3">
        <v>2037</v>
      </c>
      <c r="B1085" s="3">
        <f t="shared" si="8"/>
        <v>365</v>
      </c>
      <c r="C1085" s="41">
        <f t="shared" ref="C1085:J1085" si="29">AVERAGE(C293:C304)</f>
        <v>154.75825</v>
      </c>
      <c r="D1085" s="41">
        <f t="shared" si="29"/>
        <v>281.0162499999999</v>
      </c>
      <c r="E1085" s="41">
        <f t="shared" si="29"/>
        <v>780.7254999999999</v>
      </c>
      <c r="F1085" s="41">
        <f t="shared" si="29"/>
        <v>1216.5</v>
      </c>
      <c r="G1085" s="41">
        <f t="shared" si="29"/>
        <v>79.166666666666671</v>
      </c>
      <c r="H1085" s="42">
        <f t="shared" si="29"/>
        <v>600</v>
      </c>
      <c r="I1085" s="41">
        <f t="shared" si="29"/>
        <v>695</v>
      </c>
      <c r="J1085" s="41">
        <f t="shared" si="29"/>
        <v>33.333333333333336</v>
      </c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</row>
    <row r="1086" spans="1:20" ht="15">
      <c r="A1086" s="3">
        <f t="shared" ref="A1086:A1117" si="30">A1085+1</f>
        <v>2038</v>
      </c>
      <c r="B1086" s="3">
        <f t="shared" si="8"/>
        <v>365</v>
      </c>
      <c r="C1086" s="38">
        <f t="shared" ref="C1086:J1086" si="31">AVERAGE(C305:C316)</f>
        <v>154.75825</v>
      </c>
      <c r="D1086" s="38">
        <f t="shared" si="31"/>
        <v>281.0162499999999</v>
      </c>
      <c r="E1086" s="38">
        <f t="shared" si="31"/>
        <v>780.7254999999999</v>
      </c>
      <c r="F1086" s="38">
        <f t="shared" si="31"/>
        <v>1216.5</v>
      </c>
      <c r="G1086" s="38">
        <f t="shared" si="31"/>
        <v>79.166666666666671</v>
      </c>
      <c r="H1086" s="40">
        <f t="shared" si="31"/>
        <v>600</v>
      </c>
      <c r="I1086" s="38">
        <f t="shared" si="31"/>
        <v>695</v>
      </c>
      <c r="J1086" s="38">
        <f t="shared" si="31"/>
        <v>33.333333333333336</v>
      </c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</row>
    <row r="1087" spans="1:20" ht="15">
      <c r="A1087" s="3">
        <f t="shared" si="30"/>
        <v>2039</v>
      </c>
      <c r="B1087" s="3">
        <f t="shared" si="8"/>
        <v>365</v>
      </c>
      <c r="C1087" s="38">
        <f t="shared" ref="C1087:J1087" si="32">AVERAGE(C317:C328)</f>
        <v>154.75825</v>
      </c>
      <c r="D1087" s="38">
        <f t="shared" si="32"/>
        <v>281.0162499999999</v>
      </c>
      <c r="E1087" s="38">
        <f t="shared" si="32"/>
        <v>780.7254999999999</v>
      </c>
      <c r="F1087" s="38">
        <f t="shared" si="32"/>
        <v>1216.5</v>
      </c>
      <c r="G1087" s="38">
        <f t="shared" si="32"/>
        <v>79.166666666666671</v>
      </c>
      <c r="H1087" s="40">
        <f t="shared" si="32"/>
        <v>600</v>
      </c>
      <c r="I1087" s="38">
        <f t="shared" si="32"/>
        <v>695</v>
      </c>
      <c r="J1087" s="38">
        <f t="shared" si="32"/>
        <v>33.333333333333336</v>
      </c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</row>
    <row r="1088" spans="1:20" ht="15">
      <c r="A1088" s="3">
        <f t="shared" si="30"/>
        <v>2040</v>
      </c>
      <c r="B1088" s="3">
        <f t="shared" si="8"/>
        <v>366</v>
      </c>
      <c r="C1088" s="38">
        <f t="shared" ref="C1088:J1088" si="33">AVERAGE(C329:C340)</f>
        <v>154.75825</v>
      </c>
      <c r="D1088" s="38">
        <f t="shared" si="33"/>
        <v>281.0162499999999</v>
      </c>
      <c r="E1088" s="38">
        <f t="shared" si="33"/>
        <v>780.7254999999999</v>
      </c>
      <c r="F1088" s="38">
        <f t="shared" si="33"/>
        <v>1216.5</v>
      </c>
      <c r="G1088" s="38">
        <f t="shared" si="33"/>
        <v>79.166666666666671</v>
      </c>
      <c r="H1088" s="40">
        <f t="shared" si="33"/>
        <v>600</v>
      </c>
      <c r="I1088" s="38">
        <f t="shared" si="33"/>
        <v>695</v>
      </c>
      <c r="J1088" s="38">
        <f t="shared" si="33"/>
        <v>33.333333333333336</v>
      </c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</row>
    <row r="1089" spans="1:20" ht="15">
      <c r="A1089" s="3">
        <f t="shared" si="30"/>
        <v>2041</v>
      </c>
      <c r="B1089" s="3">
        <f t="shared" si="8"/>
        <v>365</v>
      </c>
      <c r="C1089" s="38">
        <f t="shared" ref="C1089:J1089" si="34">AVERAGE(C341:C352)</f>
        <v>154.75825</v>
      </c>
      <c r="D1089" s="38">
        <f t="shared" si="34"/>
        <v>281.0162499999999</v>
      </c>
      <c r="E1089" s="38">
        <f t="shared" si="34"/>
        <v>780.7254999999999</v>
      </c>
      <c r="F1089" s="38">
        <f t="shared" si="34"/>
        <v>1216.5</v>
      </c>
      <c r="G1089" s="38">
        <f t="shared" si="34"/>
        <v>79.166666666666671</v>
      </c>
      <c r="H1089" s="40">
        <f t="shared" si="34"/>
        <v>600</v>
      </c>
      <c r="I1089" s="38">
        <f t="shared" si="34"/>
        <v>695</v>
      </c>
      <c r="J1089" s="38">
        <f t="shared" si="34"/>
        <v>33.333333333333336</v>
      </c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</row>
    <row r="1090" spans="1:20" ht="15">
      <c r="A1090" s="3">
        <f t="shared" si="30"/>
        <v>2042</v>
      </c>
      <c r="B1090" s="3">
        <f t="shared" si="8"/>
        <v>365</v>
      </c>
      <c r="C1090" s="38">
        <f t="shared" ref="C1090:J1090" si="35">AVERAGE(C353:C364)</f>
        <v>154.75825</v>
      </c>
      <c r="D1090" s="38">
        <f t="shared" si="35"/>
        <v>281.0162499999999</v>
      </c>
      <c r="E1090" s="38">
        <f t="shared" si="35"/>
        <v>780.7254999999999</v>
      </c>
      <c r="F1090" s="38">
        <f t="shared" si="35"/>
        <v>1216.5</v>
      </c>
      <c r="G1090" s="38">
        <f t="shared" si="35"/>
        <v>79.166666666666671</v>
      </c>
      <c r="H1090" s="40">
        <f t="shared" si="35"/>
        <v>600</v>
      </c>
      <c r="I1090" s="38">
        <f t="shared" si="35"/>
        <v>695</v>
      </c>
      <c r="J1090" s="38">
        <f t="shared" si="35"/>
        <v>33.333333333333336</v>
      </c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</row>
    <row r="1091" spans="1:20" ht="15">
      <c r="A1091" s="3">
        <f t="shared" si="30"/>
        <v>2043</v>
      </c>
      <c r="B1091" s="3">
        <f t="shared" si="8"/>
        <v>365</v>
      </c>
      <c r="C1091" s="38">
        <f t="shared" ref="C1091:J1091" si="36">AVERAGE(C365:C376)</f>
        <v>154.75825</v>
      </c>
      <c r="D1091" s="38">
        <f t="shared" si="36"/>
        <v>281.0162499999999</v>
      </c>
      <c r="E1091" s="38">
        <f t="shared" si="36"/>
        <v>780.7254999999999</v>
      </c>
      <c r="F1091" s="38">
        <f t="shared" si="36"/>
        <v>1216.5</v>
      </c>
      <c r="G1091" s="38">
        <f t="shared" si="36"/>
        <v>79.166666666666671</v>
      </c>
      <c r="H1091" s="40">
        <f t="shared" si="36"/>
        <v>600</v>
      </c>
      <c r="I1091" s="38">
        <f t="shared" si="36"/>
        <v>695</v>
      </c>
      <c r="J1091" s="38">
        <f t="shared" si="36"/>
        <v>33.333333333333336</v>
      </c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</row>
    <row r="1092" spans="1:20" ht="15">
      <c r="A1092" s="3">
        <f t="shared" si="30"/>
        <v>2044</v>
      </c>
      <c r="B1092" s="3">
        <f t="shared" si="8"/>
        <v>366</v>
      </c>
      <c r="C1092" s="38">
        <f t="shared" ref="C1092:J1092" si="37">AVERAGE(C377:C388)</f>
        <v>154.75825</v>
      </c>
      <c r="D1092" s="38">
        <f t="shared" si="37"/>
        <v>281.0162499999999</v>
      </c>
      <c r="E1092" s="38">
        <f t="shared" si="37"/>
        <v>780.7254999999999</v>
      </c>
      <c r="F1092" s="38">
        <f t="shared" si="37"/>
        <v>1216.5</v>
      </c>
      <c r="G1092" s="38">
        <f t="shared" si="37"/>
        <v>79.166666666666671</v>
      </c>
      <c r="H1092" s="40">
        <f t="shared" si="37"/>
        <v>600</v>
      </c>
      <c r="I1092" s="38">
        <f t="shared" si="37"/>
        <v>695</v>
      </c>
      <c r="J1092" s="38">
        <f t="shared" si="37"/>
        <v>33.333333333333336</v>
      </c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</row>
    <row r="1093" spans="1:20" ht="15">
      <c r="A1093" s="3">
        <f t="shared" si="30"/>
        <v>2045</v>
      </c>
      <c r="B1093" s="3">
        <f t="shared" si="8"/>
        <v>365</v>
      </c>
      <c r="C1093" s="38">
        <f t="shared" ref="C1093:J1093" si="38">AVERAGE(C389:C400)</f>
        <v>154.75825</v>
      </c>
      <c r="D1093" s="38">
        <f t="shared" si="38"/>
        <v>281.0162499999999</v>
      </c>
      <c r="E1093" s="38">
        <f t="shared" si="38"/>
        <v>780.7254999999999</v>
      </c>
      <c r="F1093" s="38">
        <f t="shared" si="38"/>
        <v>1216.5</v>
      </c>
      <c r="G1093" s="38">
        <f t="shared" si="38"/>
        <v>79.166666666666671</v>
      </c>
      <c r="H1093" s="40">
        <f t="shared" si="38"/>
        <v>600</v>
      </c>
      <c r="I1093" s="38">
        <f t="shared" si="38"/>
        <v>695</v>
      </c>
      <c r="J1093" s="38">
        <f t="shared" si="38"/>
        <v>33.333333333333336</v>
      </c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</row>
    <row r="1094" spans="1:20" ht="15">
      <c r="A1094" s="3">
        <f t="shared" si="30"/>
        <v>2046</v>
      </c>
      <c r="B1094" s="3">
        <f t="shared" ref="B1094:B1125" si="39">DATE(A1094+1,1,1)-DATE(A1094,1,1)</f>
        <v>365</v>
      </c>
      <c r="C1094" s="38">
        <f t="shared" ref="C1094:J1094" si="40">AVERAGE(C401:C412)</f>
        <v>154.75825</v>
      </c>
      <c r="D1094" s="38">
        <f t="shared" si="40"/>
        <v>281.0162499999999</v>
      </c>
      <c r="E1094" s="38">
        <f t="shared" si="40"/>
        <v>780.7254999999999</v>
      </c>
      <c r="F1094" s="38">
        <f t="shared" si="40"/>
        <v>1216.5</v>
      </c>
      <c r="G1094" s="38">
        <f t="shared" si="40"/>
        <v>79.166666666666671</v>
      </c>
      <c r="H1094" s="40">
        <f t="shared" si="40"/>
        <v>600</v>
      </c>
      <c r="I1094" s="38">
        <f t="shared" si="40"/>
        <v>695</v>
      </c>
      <c r="J1094" s="38">
        <f t="shared" si="40"/>
        <v>33.333333333333336</v>
      </c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</row>
    <row r="1095" spans="1:20" ht="15">
      <c r="A1095" s="3">
        <f t="shared" si="30"/>
        <v>2047</v>
      </c>
      <c r="B1095" s="3">
        <f t="shared" si="39"/>
        <v>365</v>
      </c>
      <c r="C1095" s="38">
        <f t="shared" ref="C1095:J1095" si="41">AVERAGE(C413:C424)</f>
        <v>154.75825</v>
      </c>
      <c r="D1095" s="38">
        <f t="shared" si="41"/>
        <v>281.0162499999999</v>
      </c>
      <c r="E1095" s="38">
        <f t="shared" si="41"/>
        <v>780.7254999999999</v>
      </c>
      <c r="F1095" s="38">
        <f t="shared" si="41"/>
        <v>1216.5</v>
      </c>
      <c r="G1095" s="38">
        <f t="shared" si="41"/>
        <v>79.166666666666671</v>
      </c>
      <c r="H1095" s="40">
        <f t="shared" si="41"/>
        <v>600</v>
      </c>
      <c r="I1095" s="38">
        <f t="shared" si="41"/>
        <v>695</v>
      </c>
      <c r="J1095" s="38">
        <f t="shared" si="41"/>
        <v>33.333333333333336</v>
      </c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</row>
    <row r="1096" spans="1:20" ht="15">
      <c r="A1096" s="3">
        <f t="shared" si="30"/>
        <v>2048</v>
      </c>
      <c r="B1096" s="3">
        <f t="shared" si="39"/>
        <v>366</v>
      </c>
      <c r="C1096" s="38">
        <f t="shared" ref="C1096:J1096" si="42">AVERAGE(C425:C436)</f>
        <v>154.75825</v>
      </c>
      <c r="D1096" s="38">
        <f t="shared" si="42"/>
        <v>281.0162499999999</v>
      </c>
      <c r="E1096" s="38">
        <f t="shared" si="42"/>
        <v>780.7254999999999</v>
      </c>
      <c r="F1096" s="38">
        <f t="shared" si="42"/>
        <v>1216.5</v>
      </c>
      <c r="G1096" s="38">
        <f t="shared" si="42"/>
        <v>79.166666666666671</v>
      </c>
      <c r="H1096" s="40">
        <f t="shared" si="42"/>
        <v>600</v>
      </c>
      <c r="I1096" s="38">
        <f t="shared" si="42"/>
        <v>695</v>
      </c>
      <c r="J1096" s="38">
        <f t="shared" si="42"/>
        <v>33.333333333333336</v>
      </c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</row>
    <row r="1097" spans="1:20" ht="15">
      <c r="A1097" s="3">
        <f t="shared" si="30"/>
        <v>2049</v>
      </c>
      <c r="B1097" s="3">
        <f t="shared" si="39"/>
        <v>365</v>
      </c>
      <c r="C1097" s="38">
        <f t="shared" ref="C1097:J1097" si="43">AVERAGE(C437:C448)</f>
        <v>154.75825</v>
      </c>
      <c r="D1097" s="38">
        <f t="shared" si="43"/>
        <v>281.0162499999999</v>
      </c>
      <c r="E1097" s="38">
        <f t="shared" si="43"/>
        <v>780.7254999999999</v>
      </c>
      <c r="F1097" s="38">
        <f t="shared" si="43"/>
        <v>1216.5</v>
      </c>
      <c r="G1097" s="38">
        <f t="shared" si="43"/>
        <v>79.166666666666671</v>
      </c>
      <c r="H1097" s="40">
        <f t="shared" si="43"/>
        <v>600</v>
      </c>
      <c r="I1097" s="38">
        <f t="shared" si="43"/>
        <v>695</v>
      </c>
      <c r="J1097" s="38">
        <f t="shared" si="43"/>
        <v>33.333333333333336</v>
      </c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</row>
    <row r="1098" spans="1:20" ht="15">
      <c r="A1098" s="3">
        <f t="shared" si="30"/>
        <v>2050</v>
      </c>
      <c r="B1098" s="3">
        <f t="shared" si="39"/>
        <v>365</v>
      </c>
      <c r="C1098" s="38">
        <f t="shared" ref="C1098:J1098" si="44">AVERAGE(C449:C460)</f>
        <v>154.75825</v>
      </c>
      <c r="D1098" s="38">
        <f t="shared" si="44"/>
        <v>281.0162499999999</v>
      </c>
      <c r="E1098" s="38">
        <f t="shared" si="44"/>
        <v>780.7254999999999</v>
      </c>
      <c r="F1098" s="38">
        <f t="shared" si="44"/>
        <v>1216.5</v>
      </c>
      <c r="G1098" s="38">
        <f t="shared" si="44"/>
        <v>79.166666666666671</v>
      </c>
      <c r="H1098" s="40">
        <f t="shared" si="44"/>
        <v>600</v>
      </c>
      <c r="I1098" s="38">
        <f t="shared" si="44"/>
        <v>695</v>
      </c>
      <c r="J1098" s="38">
        <f t="shared" si="44"/>
        <v>33.333333333333336</v>
      </c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</row>
    <row r="1099" spans="1:20" ht="15">
      <c r="A1099" s="3">
        <f t="shared" si="30"/>
        <v>2051</v>
      </c>
      <c r="B1099" s="3">
        <f t="shared" si="39"/>
        <v>365</v>
      </c>
      <c r="C1099" s="38">
        <f t="shared" ref="C1099:J1099" si="45">AVERAGE(C461:C472)</f>
        <v>154.75825</v>
      </c>
      <c r="D1099" s="38">
        <f t="shared" si="45"/>
        <v>281.0162499999999</v>
      </c>
      <c r="E1099" s="38">
        <f t="shared" si="45"/>
        <v>780.7254999999999</v>
      </c>
      <c r="F1099" s="38">
        <f t="shared" si="45"/>
        <v>1216.5</v>
      </c>
      <c r="G1099" s="38">
        <f t="shared" si="45"/>
        <v>79.166666666666671</v>
      </c>
      <c r="H1099" s="40">
        <f t="shared" si="45"/>
        <v>600</v>
      </c>
      <c r="I1099" s="38">
        <f t="shared" si="45"/>
        <v>695</v>
      </c>
      <c r="J1099" s="38">
        <f t="shared" si="45"/>
        <v>33.333333333333336</v>
      </c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</row>
    <row r="1100" spans="1:20" ht="15">
      <c r="A1100" s="3">
        <f t="shared" si="30"/>
        <v>2052</v>
      </c>
      <c r="B1100" s="3">
        <f t="shared" si="39"/>
        <v>366</v>
      </c>
      <c r="C1100" s="38">
        <f t="shared" ref="C1100:J1100" si="46">AVERAGE(C473:C484)</f>
        <v>154.75825</v>
      </c>
      <c r="D1100" s="38">
        <f t="shared" si="46"/>
        <v>281.0162499999999</v>
      </c>
      <c r="E1100" s="38">
        <f t="shared" si="46"/>
        <v>780.7254999999999</v>
      </c>
      <c r="F1100" s="38">
        <f t="shared" si="46"/>
        <v>1216.5</v>
      </c>
      <c r="G1100" s="38">
        <f t="shared" si="46"/>
        <v>79.166666666666671</v>
      </c>
      <c r="H1100" s="40">
        <f t="shared" si="46"/>
        <v>600</v>
      </c>
      <c r="I1100" s="38">
        <f t="shared" si="46"/>
        <v>695</v>
      </c>
      <c r="J1100" s="38">
        <f t="shared" si="46"/>
        <v>33.333333333333336</v>
      </c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</row>
    <row r="1101" spans="1:20" ht="15">
      <c r="A1101" s="3">
        <f t="shared" si="30"/>
        <v>2053</v>
      </c>
      <c r="B1101" s="3">
        <f t="shared" si="39"/>
        <v>365</v>
      </c>
      <c r="C1101" s="38">
        <f t="shared" ref="C1101:J1101" si="47">AVERAGE(C485:C496)</f>
        <v>154.75825</v>
      </c>
      <c r="D1101" s="38">
        <f t="shared" si="47"/>
        <v>281.0162499999999</v>
      </c>
      <c r="E1101" s="38">
        <f t="shared" si="47"/>
        <v>780.7254999999999</v>
      </c>
      <c r="F1101" s="38">
        <f t="shared" si="47"/>
        <v>1216.5</v>
      </c>
      <c r="G1101" s="38">
        <f t="shared" si="47"/>
        <v>79.166666666666671</v>
      </c>
      <c r="H1101" s="40">
        <f t="shared" si="47"/>
        <v>600</v>
      </c>
      <c r="I1101" s="38">
        <f t="shared" si="47"/>
        <v>695</v>
      </c>
      <c r="J1101" s="38">
        <f t="shared" si="47"/>
        <v>33.333333333333336</v>
      </c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</row>
    <row r="1102" spans="1:20" ht="15">
      <c r="A1102" s="3">
        <f t="shared" si="30"/>
        <v>2054</v>
      </c>
      <c r="B1102" s="3">
        <f t="shared" si="39"/>
        <v>365</v>
      </c>
      <c r="C1102" s="38">
        <f t="shared" ref="C1102:J1109" si="48">AVERAGE(C497:C508)</f>
        <v>154.75825</v>
      </c>
      <c r="D1102" s="38">
        <f t="shared" si="48"/>
        <v>281.0162499999999</v>
      </c>
      <c r="E1102" s="38">
        <f t="shared" si="48"/>
        <v>780.7254999999999</v>
      </c>
      <c r="F1102" s="38">
        <f t="shared" si="48"/>
        <v>1216.5</v>
      </c>
      <c r="G1102" s="38">
        <f t="shared" si="48"/>
        <v>79.166666666666671</v>
      </c>
      <c r="H1102" s="40">
        <f t="shared" si="48"/>
        <v>600</v>
      </c>
      <c r="I1102" s="38">
        <f t="shared" si="48"/>
        <v>695</v>
      </c>
      <c r="J1102" s="38">
        <f t="shared" si="48"/>
        <v>33.333333333333336</v>
      </c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</row>
    <row r="1103" spans="1:20" ht="15">
      <c r="A1103" s="3">
        <f t="shared" si="30"/>
        <v>2055</v>
      </c>
      <c r="B1103" s="3">
        <f t="shared" si="39"/>
        <v>365</v>
      </c>
      <c r="C1103" s="38">
        <f t="shared" si="48"/>
        <v>154.75825</v>
      </c>
      <c r="D1103" s="38">
        <f t="shared" si="48"/>
        <v>281.0162499999999</v>
      </c>
      <c r="E1103" s="38">
        <f t="shared" si="48"/>
        <v>780.7254999999999</v>
      </c>
      <c r="F1103" s="38">
        <f t="shared" si="48"/>
        <v>1216.5</v>
      </c>
      <c r="G1103" s="38">
        <f t="shared" si="48"/>
        <v>79.166666666666671</v>
      </c>
      <c r="H1103" s="40">
        <f t="shared" si="48"/>
        <v>600</v>
      </c>
      <c r="I1103" s="38">
        <f t="shared" si="48"/>
        <v>695</v>
      </c>
      <c r="J1103" s="38">
        <f t="shared" si="48"/>
        <v>33.333333333333336</v>
      </c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</row>
    <row r="1104" spans="1:20" ht="15">
      <c r="A1104" s="3">
        <f t="shared" si="30"/>
        <v>2056</v>
      </c>
      <c r="B1104" s="3">
        <f t="shared" si="39"/>
        <v>366</v>
      </c>
      <c r="C1104" s="38">
        <f t="shared" si="48"/>
        <v>154.75824999999998</v>
      </c>
      <c r="D1104" s="38">
        <f t="shared" si="48"/>
        <v>281.0162499999999</v>
      </c>
      <c r="E1104" s="38">
        <f t="shared" si="48"/>
        <v>780.7254999999999</v>
      </c>
      <c r="F1104" s="38">
        <f t="shared" si="48"/>
        <v>1216.5</v>
      </c>
      <c r="G1104" s="38">
        <f t="shared" si="48"/>
        <v>79.166666666666671</v>
      </c>
      <c r="H1104" s="40">
        <f t="shared" si="48"/>
        <v>600</v>
      </c>
      <c r="I1104" s="38">
        <f t="shared" si="48"/>
        <v>695</v>
      </c>
      <c r="J1104" s="38">
        <f t="shared" si="48"/>
        <v>33.333333333333336</v>
      </c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</row>
    <row r="1105" spans="1:20" ht="15">
      <c r="A1105" s="3">
        <f t="shared" si="30"/>
        <v>2057</v>
      </c>
      <c r="B1105" s="3">
        <f t="shared" si="39"/>
        <v>365</v>
      </c>
      <c r="C1105" s="38">
        <f t="shared" si="48"/>
        <v>154.75825</v>
      </c>
      <c r="D1105" s="38">
        <f t="shared" si="48"/>
        <v>281.0162499999999</v>
      </c>
      <c r="E1105" s="38">
        <f t="shared" si="48"/>
        <v>780.72550000000001</v>
      </c>
      <c r="F1105" s="38">
        <f t="shared" si="48"/>
        <v>1216.5</v>
      </c>
      <c r="G1105" s="38">
        <f t="shared" si="48"/>
        <v>79.166666666666671</v>
      </c>
      <c r="H1105" s="40">
        <f t="shared" si="48"/>
        <v>600</v>
      </c>
      <c r="I1105" s="38">
        <f t="shared" si="48"/>
        <v>695</v>
      </c>
      <c r="J1105" s="38">
        <f t="shared" si="48"/>
        <v>33.333333333333336</v>
      </c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</row>
    <row r="1106" spans="1:20" ht="15">
      <c r="A1106" s="3">
        <f t="shared" si="30"/>
        <v>2058</v>
      </c>
      <c r="B1106" s="3">
        <f t="shared" si="39"/>
        <v>365</v>
      </c>
      <c r="C1106" s="38">
        <f t="shared" si="48"/>
        <v>154.75824999999998</v>
      </c>
      <c r="D1106" s="38">
        <f t="shared" si="48"/>
        <v>281.01624999999996</v>
      </c>
      <c r="E1106" s="38">
        <f t="shared" si="48"/>
        <v>780.72550000000001</v>
      </c>
      <c r="F1106" s="38">
        <f t="shared" si="48"/>
        <v>1216.5</v>
      </c>
      <c r="G1106" s="38">
        <f t="shared" si="48"/>
        <v>79.166666666666671</v>
      </c>
      <c r="H1106" s="40">
        <f t="shared" si="48"/>
        <v>600</v>
      </c>
      <c r="I1106" s="38">
        <f t="shared" si="48"/>
        <v>695</v>
      </c>
      <c r="J1106" s="38">
        <f t="shared" si="48"/>
        <v>33.333333333333336</v>
      </c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</row>
    <row r="1107" spans="1:20" ht="15">
      <c r="A1107" s="3">
        <f t="shared" si="30"/>
        <v>2059</v>
      </c>
      <c r="B1107" s="3">
        <f t="shared" si="39"/>
        <v>365</v>
      </c>
      <c r="C1107" s="38">
        <f t="shared" si="48"/>
        <v>154.75824999999998</v>
      </c>
      <c r="D1107" s="38">
        <f t="shared" si="48"/>
        <v>281.01624999999996</v>
      </c>
      <c r="E1107" s="38">
        <f t="shared" si="48"/>
        <v>780.72550000000012</v>
      </c>
      <c r="F1107" s="38">
        <f t="shared" si="48"/>
        <v>1216.5</v>
      </c>
      <c r="G1107" s="38">
        <f t="shared" si="48"/>
        <v>79.166666666666671</v>
      </c>
      <c r="H1107" s="40">
        <f t="shared" si="48"/>
        <v>600</v>
      </c>
      <c r="I1107" s="38">
        <f t="shared" si="48"/>
        <v>695</v>
      </c>
      <c r="J1107" s="38">
        <f t="shared" si="48"/>
        <v>33.333333333333336</v>
      </c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</row>
    <row r="1108" spans="1:20" ht="15">
      <c r="A1108" s="3">
        <f t="shared" si="30"/>
        <v>2060</v>
      </c>
      <c r="B1108" s="3">
        <f t="shared" si="39"/>
        <v>366</v>
      </c>
      <c r="C1108" s="38">
        <f t="shared" si="48"/>
        <v>154.75824999999998</v>
      </c>
      <c r="D1108" s="38">
        <f t="shared" si="48"/>
        <v>281.01624999999996</v>
      </c>
      <c r="E1108" s="38">
        <f t="shared" si="48"/>
        <v>780.72550000000012</v>
      </c>
      <c r="F1108" s="38">
        <f t="shared" si="48"/>
        <v>1216.5</v>
      </c>
      <c r="G1108" s="38">
        <f t="shared" si="48"/>
        <v>79.166666666666671</v>
      </c>
      <c r="H1108" s="40">
        <f t="shared" si="48"/>
        <v>600</v>
      </c>
      <c r="I1108" s="38">
        <f t="shared" si="48"/>
        <v>695</v>
      </c>
      <c r="J1108" s="38">
        <f t="shared" si="48"/>
        <v>33.333333333333336</v>
      </c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</row>
    <row r="1109" spans="1:20" ht="15">
      <c r="A1109" s="3">
        <f t="shared" si="30"/>
        <v>2061</v>
      </c>
      <c r="B1109" s="3">
        <f t="shared" si="39"/>
        <v>365</v>
      </c>
      <c r="C1109" s="38">
        <f t="shared" si="48"/>
        <v>154.75825</v>
      </c>
      <c r="D1109" s="38">
        <f t="shared" si="48"/>
        <v>281.01624999999996</v>
      </c>
      <c r="E1109" s="38">
        <f t="shared" si="48"/>
        <v>780.72550000000001</v>
      </c>
      <c r="F1109" s="38">
        <f t="shared" si="48"/>
        <v>1216.5</v>
      </c>
      <c r="G1109" s="38">
        <f t="shared" si="48"/>
        <v>79.166666666666671</v>
      </c>
      <c r="H1109" s="40">
        <f t="shared" si="48"/>
        <v>600</v>
      </c>
      <c r="I1109" s="38">
        <f t="shared" si="48"/>
        <v>695</v>
      </c>
      <c r="J1109" s="38">
        <f t="shared" si="48"/>
        <v>33.333333333333336</v>
      </c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</row>
    <row r="1110" spans="1:20" ht="15">
      <c r="A1110" s="3">
        <f t="shared" si="30"/>
        <v>2062</v>
      </c>
      <c r="B1110" s="3">
        <f t="shared" si="39"/>
        <v>365</v>
      </c>
      <c r="C1110" s="38">
        <f t="shared" ref="C1110:J1119" ca="1" si="49">AVERAGE(OFFSET(C$593,($A1110-$A$1110)*12,0,12,1))</f>
        <v>154.75825</v>
      </c>
      <c r="D1110" s="38">
        <f t="shared" ca="1" si="49"/>
        <v>281.0162499999999</v>
      </c>
      <c r="E1110" s="38">
        <f t="shared" ca="1" si="49"/>
        <v>780.7254999999999</v>
      </c>
      <c r="F1110" s="38">
        <f t="shared" ca="1" si="49"/>
        <v>1216.5</v>
      </c>
      <c r="G1110" s="38">
        <f t="shared" ca="1" si="49"/>
        <v>79.166666666666671</v>
      </c>
      <c r="H1110" s="38">
        <f t="shared" ca="1" si="49"/>
        <v>600</v>
      </c>
      <c r="I1110" s="38">
        <f t="shared" ca="1" si="49"/>
        <v>695</v>
      </c>
      <c r="J1110" s="38">
        <f t="shared" ca="1" si="49"/>
        <v>33.333333333333336</v>
      </c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</row>
    <row r="1111" spans="1:20" ht="15">
      <c r="A1111" s="3">
        <f t="shared" si="30"/>
        <v>2063</v>
      </c>
      <c r="B1111" s="3">
        <f t="shared" si="39"/>
        <v>365</v>
      </c>
      <c r="C1111" s="38">
        <f t="shared" ca="1" si="49"/>
        <v>154.75825</v>
      </c>
      <c r="D1111" s="38">
        <f t="shared" ca="1" si="49"/>
        <v>281.0162499999999</v>
      </c>
      <c r="E1111" s="38">
        <f t="shared" ca="1" si="49"/>
        <v>780.7254999999999</v>
      </c>
      <c r="F1111" s="38">
        <f t="shared" ca="1" si="49"/>
        <v>1216.5</v>
      </c>
      <c r="G1111" s="38">
        <f t="shared" ca="1" si="49"/>
        <v>79.166666666666671</v>
      </c>
      <c r="H1111" s="38">
        <f t="shared" ca="1" si="49"/>
        <v>600</v>
      </c>
      <c r="I1111" s="38">
        <f t="shared" ca="1" si="49"/>
        <v>695</v>
      </c>
      <c r="J1111" s="38">
        <f t="shared" ca="1" si="49"/>
        <v>33.333333333333336</v>
      </c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</row>
    <row r="1112" spans="1:20" ht="15">
      <c r="A1112" s="3">
        <f t="shared" si="30"/>
        <v>2064</v>
      </c>
      <c r="B1112" s="3">
        <f t="shared" si="39"/>
        <v>366</v>
      </c>
      <c r="C1112" s="38">
        <f t="shared" ca="1" si="49"/>
        <v>154.75825</v>
      </c>
      <c r="D1112" s="38">
        <f t="shared" ca="1" si="49"/>
        <v>281.0162499999999</v>
      </c>
      <c r="E1112" s="38">
        <f t="shared" ca="1" si="49"/>
        <v>780.7254999999999</v>
      </c>
      <c r="F1112" s="38">
        <f t="shared" ca="1" si="49"/>
        <v>1216.5</v>
      </c>
      <c r="G1112" s="38">
        <f t="shared" ca="1" si="49"/>
        <v>79.166666666666671</v>
      </c>
      <c r="H1112" s="38">
        <f t="shared" ca="1" si="49"/>
        <v>600</v>
      </c>
      <c r="I1112" s="38">
        <f t="shared" ca="1" si="49"/>
        <v>695</v>
      </c>
      <c r="J1112" s="38">
        <f t="shared" ca="1" si="49"/>
        <v>33.333333333333336</v>
      </c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</row>
    <row r="1113" spans="1:20" ht="15">
      <c r="A1113" s="3">
        <f t="shared" si="30"/>
        <v>2065</v>
      </c>
      <c r="B1113" s="3">
        <f t="shared" si="39"/>
        <v>365</v>
      </c>
      <c r="C1113" s="38">
        <f t="shared" ca="1" si="49"/>
        <v>154.75825</v>
      </c>
      <c r="D1113" s="38">
        <f t="shared" ca="1" si="49"/>
        <v>281.0162499999999</v>
      </c>
      <c r="E1113" s="38">
        <f t="shared" ca="1" si="49"/>
        <v>780.7254999999999</v>
      </c>
      <c r="F1113" s="38">
        <f t="shared" ca="1" si="49"/>
        <v>1216.5</v>
      </c>
      <c r="G1113" s="38">
        <f t="shared" ca="1" si="49"/>
        <v>79.166666666666671</v>
      </c>
      <c r="H1113" s="38">
        <f t="shared" ca="1" si="49"/>
        <v>600</v>
      </c>
      <c r="I1113" s="38">
        <f t="shared" ca="1" si="49"/>
        <v>695</v>
      </c>
      <c r="J1113" s="38">
        <f t="shared" ca="1" si="49"/>
        <v>33.333333333333336</v>
      </c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</row>
    <row r="1114" spans="1:20" ht="15">
      <c r="A1114" s="3">
        <f t="shared" si="30"/>
        <v>2066</v>
      </c>
      <c r="B1114" s="3">
        <f t="shared" si="39"/>
        <v>365</v>
      </c>
      <c r="C1114" s="38">
        <f t="shared" ca="1" si="49"/>
        <v>154.75825</v>
      </c>
      <c r="D1114" s="38">
        <f t="shared" ca="1" si="49"/>
        <v>281.0162499999999</v>
      </c>
      <c r="E1114" s="38">
        <f t="shared" ca="1" si="49"/>
        <v>780.7254999999999</v>
      </c>
      <c r="F1114" s="38">
        <f t="shared" ca="1" si="49"/>
        <v>1216.5</v>
      </c>
      <c r="G1114" s="38">
        <f t="shared" ca="1" si="49"/>
        <v>79.166666666666671</v>
      </c>
      <c r="H1114" s="38">
        <f t="shared" ca="1" si="49"/>
        <v>600</v>
      </c>
      <c r="I1114" s="38">
        <f t="shared" ca="1" si="49"/>
        <v>695</v>
      </c>
      <c r="J1114" s="38">
        <f t="shared" ca="1" si="49"/>
        <v>33.333333333333336</v>
      </c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</row>
    <row r="1115" spans="1:20" ht="15">
      <c r="A1115" s="3">
        <f t="shared" si="30"/>
        <v>2067</v>
      </c>
      <c r="B1115" s="3">
        <f t="shared" si="39"/>
        <v>365</v>
      </c>
      <c r="C1115" s="38">
        <f t="shared" ca="1" si="49"/>
        <v>154.75825</v>
      </c>
      <c r="D1115" s="38">
        <f t="shared" ca="1" si="49"/>
        <v>281.0162499999999</v>
      </c>
      <c r="E1115" s="38">
        <f t="shared" ca="1" si="49"/>
        <v>780.7254999999999</v>
      </c>
      <c r="F1115" s="38">
        <f t="shared" ca="1" si="49"/>
        <v>1216.5</v>
      </c>
      <c r="G1115" s="38">
        <f t="shared" ca="1" si="49"/>
        <v>79.166666666666671</v>
      </c>
      <c r="H1115" s="38">
        <f t="shared" ca="1" si="49"/>
        <v>600</v>
      </c>
      <c r="I1115" s="38">
        <f t="shared" ca="1" si="49"/>
        <v>695</v>
      </c>
      <c r="J1115" s="38">
        <f t="shared" ca="1" si="49"/>
        <v>33.333333333333336</v>
      </c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</row>
    <row r="1116" spans="1:20" ht="15">
      <c r="A1116" s="3">
        <f t="shared" si="30"/>
        <v>2068</v>
      </c>
      <c r="B1116" s="3">
        <f t="shared" si="39"/>
        <v>366</v>
      </c>
      <c r="C1116" s="38">
        <f t="shared" ca="1" si="49"/>
        <v>154.75825</v>
      </c>
      <c r="D1116" s="38">
        <f t="shared" ca="1" si="49"/>
        <v>281.0162499999999</v>
      </c>
      <c r="E1116" s="38">
        <f t="shared" ca="1" si="49"/>
        <v>780.7254999999999</v>
      </c>
      <c r="F1116" s="38">
        <f t="shared" ca="1" si="49"/>
        <v>1216.5</v>
      </c>
      <c r="G1116" s="38">
        <f t="shared" ca="1" si="49"/>
        <v>79.166666666666671</v>
      </c>
      <c r="H1116" s="38">
        <f t="shared" ca="1" si="49"/>
        <v>600</v>
      </c>
      <c r="I1116" s="38">
        <f t="shared" ca="1" si="49"/>
        <v>695</v>
      </c>
      <c r="J1116" s="38">
        <f t="shared" ca="1" si="49"/>
        <v>33.333333333333336</v>
      </c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</row>
    <row r="1117" spans="1:20" ht="15">
      <c r="A1117" s="3">
        <f t="shared" si="30"/>
        <v>2069</v>
      </c>
      <c r="B1117" s="3">
        <f t="shared" si="39"/>
        <v>365</v>
      </c>
      <c r="C1117" s="38">
        <f t="shared" ca="1" si="49"/>
        <v>154.75825</v>
      </c>
      <c r="D1117" s="38">
        <f t="shared" ca="1" si="49"/>
        <v>281.0162499999999</v>
      </c>
      <c r="E1117" s="38">
        <f t="shared" ca="1" si="49"/>
        <v>780.7254999999999</v>
      </c>
      <c r="F1117" s="38">
        <f t="shared" ca="1" si="49"/>
        <v>1216.5</v>
      </c>
      <c r="G1117" s="38">
        <f t="shared" ca="1" si="49"/>
        <v>79.166666666666671</v>
      </c>
      <c r="H1117" s="38">
        <f t="shared" ca="1" si="49"/>
        <v>600</v>
      </c>
      <c r="I1117" s="38">
        <f t="shared" ca="1" si="49"/>
        <v>695</v>
      </c>
      <c r="J1117" s="38">
        <f t="shared" ca="1" si="49"/>
        <v>33.333333333333336</v>
      </c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</row>
    <row r="1118" spans="1:20" ht="15">
      <c r="A1118" s="3">
        <f t="shared" ref="A1118:A1148" si="50">A1117+1</f>
        <v>2070</v>
      </c>
      <c r="B1118" s="3">
        <f t="shared" si="39"/>
        <v>365</v>
      </c>
      <c r="C1118" s="38">
        <f t="shared" ca="1" si="49"/>
        <v>154.75825</v>
      </c>
      <c r="D1118" s="38">
        <f t="shared" ca="1" si="49"/>
        <v>281.0162499999999</v>
      </c>
      <c r="E1118" s="38">
        <f t="shared" ca="1" si="49"/>
        <v>780.7254999999999</v>
      </c>
      <c r="F1118" s="38">
        <f t="shared" ca="1" si="49"/>
        <v>1216.5</v>
      </c>
      <c r="G1118" s="38">
        <f t="shared" ca="1" si="49"/>
        <v>79.166666666666671</v>
      </c>
      <c r="H1118" s="38">
        <f t="shared" ca="1" si="49"/>
        <v>600</v>
      </c>
      <c r="I1118" s="38">
        <f t="shared" ca="1" si="49"/>
        <v>695</v>
      </c>
      <c r="J1118" s="38">
        <f t="shared" ca="1" si="49"/>
        <v>33.333333333333336</v>
      </c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</row>
    <row r="1119" spans="1:20" ht="15">
      <c r="A1119" s="3">
        <f t="shared" si="50"/>
        <v>2071</v>
      </c>
      <c r="B1119" s="3">
        <f t="shared" si="39"/>
        <v>365</v>
      </c>
      <c r="C1119" s="38">
        <f t="shared" ca="1" si="49"/>
        <v>154.75825</v>
      </c>
      <c r="D1119" s="38">
        <f t="shared" ca="1" si="49"/>
        <v>281.0162499999999</v>
      </c>
      <c r="E1119" s="38">
        <f t="shared" ca="1" si="49"/>
        <v>780.7254999999999</v>
      </c>
      <c r="F1119" s="38">
        <f t="shared" ca="1" si="49"/>
        <v>1216.5</v>
      </c>
      <c r="G1119" s="38">
        <f t="shared" ca="1" si="49"/>
        <v>79.166666666666671</v>
      </c>
      <c r="H1119" s="38">
        <f t="shared" ca="1" si="49"/>
        <v>600</v>
      </c>
      <c r="I1119" s="38">
        <f t="shared" ca="1" si="49"/>
        <v>695</v>
      </c>
      <c r="J1119" s="38">
        <f t="shared" ca="1" si="49"/>
        <v>33.333333333333336</v>
      </c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</row>
    <row r="1120" spans="1:20" ht="15">
      <c r="A1120" s="3">
        <f t="shared" si="50"/>
        <v>2072</v>
      </c>
      <c r="B1120" s="3">
        <f t="shared" si="39"/>
        <v>366</v>
      </c>
      <c r="C1120" s="38">
        <f t="shared" ref="C1120:J1129" ca="1" si="51">AVERAGE(OFFSET(C$593,($A1120-$A$1110)*12,0,12,1))</f>
        <v>154.75825</v>
      </c>
      <c r="D1120" s="38">
        <f t="shared" ca="1" si="51"/>
        <v>281.0162499999999</v>
      </c>
      <c r="E1120" s="38">
        <f t="shared" ca="1" si="51"/>
        <v>780.7254999999999</v>
      </c>
      <c r="F1120" s="38">
        <f t="shared" ca="1" si="51"/>
        <v>1216.5</v>
      </c>
      <c r="G1120" s="38">
        <f t="shared" ca="1" si="51"/>
        <v>79.166666666666671</v>
      </c>
      <c r="H1120" s="38">
        <f t="shared" ca="1" si="51"/>
        <v>600</v>
      </c>
      <c r="I1120" s="38">
        <f t="shared" ca="1" si="51"/>
        <v>695</v>
      </c>
      <c r="J1120" s="38">
        <f t="shared" ca="1" si="51"/>
        <v>33.333333333333336</v>
      </c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</row>
    <row r="1121" spans="1:20" ht="15">
      <c r="A1121" s="3">
        <f t="shared" si="50"/>
        <v>2073</v>
      </c>
      <c r="B1121" s="3">
        <f t="shared" si="39"/>
        <v>365</v>
      </c>
      <c r="C1121" s="38">
        <f t="shared" ca="1" si="51"/>
        <v>154.75825</v>
      </c>
      <c r="D1121" s="38">
        <f t="shared" ca="1" si="51"/>
        <v>281.0162499999999</v>
      </c>
      <c r="E1121" s="38">
        <f t="shared" ca="1" si="51"/>
        <v>780.7254999999999</v>
      </c>
      <c r="F1121" s="38">
        <f t="shared" ca="1" si="51"/>
        <v>1216.5</v>
      </c>
      <c r="G1121" s="38">
        <f t="shared" ca="1" si="51"/>
        <v>79.166666666666671</v>
      </c>
      <c r="H1121" s="38">
        <f t="shared" ca="1" si="51"/>
        <v>600</v>
      </c>
      <c r="I1121" s="38">
        <f t="shared" ca="1" si="51"/>
        <v>695</v>
      </c>
      <c r="J1121" s="38">
        <f t="shared" ca="1" si="51"/>
        <v>33.333333333333336</v>
      </c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</row>
    <row r="1122" spans="1:20" ht="15">
      <c r="A1122" s="3">
        <f t="shared" si="50"/>
        <v>2074</v>
      </c>
      <c r="B1122" s="3">
        <f t="shared" si="39"/>
        <v>365</v>
      </c>
      <c r="C1122" s="38">
        <f t="shared" ca="1" si="51"/>
        <v>154.75825</v>
      </c>
      <c r="D1122" s="38">
        <f t="shared" ca="1" si="51"/>
        <v>281.0162499999999</v>
      </c>
      <c r="E1122" s="38">
        <f t="shared" ca="1" si="51"/>
        <v>780.7254999999999</v>
      </c>
      <c r="F1122" s="38">
        <f t="shared" ca="1" si="51"/>
        <v>1216.5</v>
      </c>
      <c r="G1122" s="38">
        <f t="shared" ca="1" si="51"/>
        <v>79.166666666666671</v>
      </c>
      <c r="H1122" s="38">
        <f t="shared" ca="1" si="51"/>
        <v>600</v>
      </c>
      <c r="I1122" s="38">
        <f t="shared" ca="1" si="51"/>
        <v>695</v>
      </c>
      <c r="J1122" s="38">
        <f t="shared" ca="1" si="51"/>
        <v>33.333333333333336</v>
      </c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</row>
    <row r="1123" spans="1:20" ht="15">
      <c r="A1123" s="3">
        <f t="shared" si="50"/>
        <v>2075</v>
      </c>
      <c r="B1123" s="3">
        <f t="shared" si="39"/>
        <v>365</v>
      </c>
      <c r="C1123" s="38">
        <f t="shared" ca="1" si="51"/>
        <v>154.75825</v>
      </c>
      <c r="D1123" s="38">
        <f t="shared" ca="1" si="51"/>
        <v>281.0162499999999</v>
      </c>
      <c r="E1123" s="38">
        <f t="shared" ca="1" si="51"/>
        <v>780.7254999999999</v>
      </c>
      <c r="F1123" s="38">
        <f t="shared" ca="1" si="51"/>
        <v>1216.5</v>
      </c>
      <c r="G1123" s="38">
        <f t="shared" ca="1" si="51"/>
        <v>79.166666666666671</v>
      </c>
      <c r="H1123" s="38">
        <f t="shared" ca="1" si="51"/>
        <v>600</v>
      </c>
      <c r="I1123" s="38">
        <f t="shared" ca="1" si="51"/>
        <v>695</v>
      </c>
      <c r="J1123" s="38">
        <f t="shared" ca="1" si="51"/>
        <v>33.333333333333336</v>
      </c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</row>
    <row r="1124" spans="1:20" ht="15">
      <c r="A1124" s="3">
        <f t="shared" si="50"/>
        <v>2076</v>
      </c>
      <c r="B1124" s="3">
        <f t="shared" si="39"/>
        <v>366</v>
      </c>
      <c r="C1124" s="38">
        <f t="shared" ca="1" si="51"/>
        <v>154.75825</v>
      </c>
      <c r="D1124" s="38">
        <f t="shared" ca="1" si="51"/>
        <v>281.0162499999999</v>
      </c>
      <c r="E1124" s="38">
        <f t="shared" ca="1" si="51"/>
        <v>780.7254999999999</v>
      </c>
      <c r="F1124" s="38">
        <f t="shared" ca="1" si="51"/>
        <v>1216.5</v>
      </c>
      <c r="G1124" s="38">
        <f t="shared" ca="1" si="51"/>
        <v>79.166666666666671</v>
      </c>
      <c r="H1124" s="38">
        <f t="shared" ca="1" si="51"/>
        <v>600</v>
      </c>
      <c r="I1124" s="38">
        <f t="shared" ca="1" si="51"/>
        <v>695</v>
      </c>
      <c r="J1124" s="38">
        <f t="shared" ca="1" si="51"/>
        <v>33.333333333333336</v>
      </c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</row>
    <row r="1125" spans="1:20" ht="15">
      <c r="A1125" s="3">
        <f t="shared" si="50"/>
        <v>2077</v>
      </c>
      <c r="B1125" s="3">
        <f t="shared" si="39"/>
        <v>365</v>
      </c>
      <c r="C1125" s="38">
        <f t="shared" ca="1" si="51"/>
        <v>154.75825</v>
      </c>
      <c r="D1125" s="38">
        <f t="shared" ca="1" si="51"/>
        <v>281.0162499999999</v>
      </c>
      <c r="E1125" s="38">
        <f t="shared" ca="1" si="51"/>
        <v>780.7254999999999</v>
      </c>
      <c r="F1125" s="38">
        <f t="shared" ca="1" si="51"/>
        <v>1216.5</v>
      </c>
      <c r="G1125" s="38">
        <f t="shared" ca="1" si="51"/>
        <v>79.166666666666671</v>
      </c>
      <c r="H1125" s="38">
        <f t="shared" ca="1" si="51"/>
        <v>600</v>
      </c>
      <c r="I1125" s="38">
        <f t="shared" ca="1" si="51"/>
        <v>695</v>
      </c>
      <c r="J1125" s="38">
        <f t="shared" ca="1" si="51"/>
        <v>33.333333333333336</v>
      </c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</row>
    <row r="1126" spans="1:20" ht="15">
      <c r="A1126" s="3">
        <f t="shared" si="50"/>
        <v>2078</v>
      </c>
      <c r="B1126" s="3">
        <f t="shared" ref="B1126:B1148" si="52">DATE(A1126+1,1,1)-DATE(A1126,1,1)</f>
        <v>365</v>
      </c>
      <c r="C1126" s="38">
        <f t="shared" ca="1" si="51"/>
        <v>154.75825</v>
      </c>
      <c r="D1126" s="38">
        <f t="shared" ca="1" si="51"/>
        <v>281.0162499999999</v>
      </c>
      <c r="E1126" s="38">
        <f t="shared" ca="1" si="51"/>
        <v>780.7254999999999</v>
      </c>
      <c r="F1126" s="38">
        <f t="shared" ca="1" si="51"/>
        <v>1216.5</v>
      </c>
      <c r="G1126" s="38">
        <f t="shared" ca="1" si="51"/>
        <v>79.166666666666671</v>
      </c>
      <c r="H1126" s="38">
        <f t="shared" ca="1" si="51"/>
        <v>600</v>
      </c>
      <c r="I1126" s="38">
        <f t="shared" ca="1" si="51"/>
        <v>695</v>
      </c>
      <c r="J1126" s="38">
        <f t="shared" ca="1" si="51"/>
        <v>33.333333333333336</v>
      </c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</row>
    <row r="1127" spans="1:20" ht="15">
      <c r="A1127" s="3">
        <f t="shared" si="50"/>
        <v>2079</v>
      </c>
      <c r="B1127" s="3">
        <f t="shared" si="52"/>
        <v>365</v>
      </c>
      <c r="C1127" s="38">
        <f t="shared" ca="1" si="51"/>
        <v>154.75825</v>
      </c>
      <c r="D1127" s="38">
        <f t="shared" ca="1" si="51"/>
        <v>281.0162499999999</v>
      </c>
      <c r="E1127" s="38">
        <f t="shared" ca="1" si="51"/>
        <v>780.7254999999999</v>
      </c>
      <c r="F1127" s="38">
        <f t="shared" ca="1" si="51"/>
        <v>1216.5</v>
      </c>
      <c r="G1127" s="38">
        <f t="shared" ca="1" si="51"/>
        <v>79.166666666666671</v>
      </c>
      <c r="H1127" s="38">
        <f t="shared" ca="1" si="51"/>
        <v>600</v>
      </c>
      <c r="I1127" s="38">
        <f t="shared" ca="1" si="51"/>
        <v>695</v>
      </c>
      <c r="J1127" s="38">
        <f t="shared" ca="1" si="51"/>
        <v>33.333333333333336</v>
      </c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</row>
    <row r="1128" spans="1:20" ht="15">
      <c r="A1128" s="3">
        <f t="shared" si="50"/>
        <v>2080</v>
      </c>
      <c r="B1128" s="3">
        <f t="shared" si="52"/>
        <v>366</v>
      </c>
      <c r="C1128" s="38">
        <f t="shared" ca="1" si="51"/>
        <v>154.75825</v>
      </c>
      <c r="D1128" s="38">
        <f t="shared" ca="1" si="51"/>
        <v>281.0162499999999</v>
      </c>
      <c r="E1128" s="38">
        <f t="shared" ca="1" si="51"/>
        <v>780.7254999999999</v>
      </c>
      <c r="F1128" s="38">
        <f t="shared" ca="1" si="51"/>
        <v>1216.5</v>
      </c>
      <c r="G1128" s="38">
        <f t="shared" ca="1" si="51"/>
        <v>79.166666666666671</v>
      </c>
      <c r="H1128" s="38">
        <f t="shared" ca="1" si="51"/>
        <v>600</v>
      </c>
      <c r="I1128" s="38">
        <f t="shared" ca="1" si="51"/>
        <v>695</v>
      </c>
      <c r="J1128" s="38">
        <f t="shared" ca="1" si="51"/>
        <v>33.333333333333336</v>
      </c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</row>
    <row r="1129" spans="1:20" ht="15">
      <c r="A1129" s="3">
        <f t="shared" si="50"/>
        <v>2081</v>
      </c>
      <c r="B1129" s="3">
        <f t="shared" si="52"/>
        <v>365</v>
      </c>
      <c r="C1129" s="38">
        <f t="shared" ca="1" si="51"/>
        <v>154.75825</v>
      </c>
      <c r="D1129" s="38">
        <f t="shared" ca="1" si="51"/>
        <v>281.0162499999999</v>
      </c>
      <c r="E1129" s="38">
        <f t="shared" ca="1" si="51"/>
        <v>780.7254999999999</v>
      </c>
      <c r="F1129" s="38">
        <f t="shared" ca="1" si="51"/>
        <v>1216.5</v>
      </c>
      <c r="G1129" s="38">
        <f t="shared" ca="1" si="51"/>
        <v>79.166666666666671</v>
      </c>
      <c r="H1129" s="38">
        <f t="shared" ca="1" si="51"/>
        <v>600</v>
      </c>
      <c r="I1129" s="38">
        <f t="shared" ca="1" si="51"/>
        <v>695</v>
      </c>
      <c r="J1129" s="38">
        <f t="shared" ca="1" si="51"/>
        <v>33.333333333333336</v>
      </c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</row>
    <row r="1130" spans="1:20" ht="15">
      <c r="A1130" s="3">
        <f t="shared" si="50"/>
        <v>2082</v>
      </c>
      <c r="B1130" s="3">
        <f t="shared" si="52"/>
        <v>365</v>
      </c>
      <c r="C1130" s="38">
        <f t="shared" ref="C1130:J1139" ca="1" si="53">AVERAGE(OFFSET(C$593,($A1130-$A$1110)*12,0,12,1))</f>
        <v>154.75825</v>
      </c>
      <c r="D1130" s="38">
        <f t="shared" ca="1" si="53"/>
        <v>281.0162499999999</v>
      </c>
      <c r="E1130" s="38">
        <f t="shared" ca="1" si="53"/>
        <v>780.7254999999999</v>
      </c>
      <c r="F1130" s="38">
        <f t="shared" ca="1" si="53"/>
        <v>1216.5</v>
      </c>
      <c r="G1130" s="38">
        <f t="shared" ca="1" si="53"/>
        <v>79.166666666666671</v>
      </c>
      <c r="H1130" s="38">
        <f t="shared" ca="1" si="53"/>
        <v>600</v>
      </c>
      <c r="I1130" s="38">
        <f t="shared" ca="1" si="53"/>
        <v>695</v>
      </c>
      <c r="J1130" s="38">
        <f t="shared" ca="1" si="53"/>
        <v>33.333333333333336</v>
      </c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</row>
    <row r="1131" spans="1:20" ht="15">
      <c r="A1131" s="3">
        <f t="shared" si="50"/>
        <v>2083</v>
      </c>
      <c r="B1131" s="3">
        <f t="shared" si="52"/>
        <v>365</v>
      </c>
      <c r="C1131" s="38">
        <f t="shared" ca="1" si="53"/>
        <v>154.75825</v>
      </c>
      <c r="D1131" s="38">
        <f t="shared" ca="1" si="53"/>
        <v>281.0162499999999</v>
      </c>
      <c r="E1131" s="38">
        <f t="shared" ca="1" si="53"/>
        <v>780.7254999999999</v>
      </c>
      <c r="F1131" s="38">
        <f t="shared" ca="1" si="53"/>
        <v>1216.5</v>
      </c>
      <c r="G1131" s="38">
        <f t="shared" ca="1" si="53"/>
        <v>79.166666666666671</v>
      </c>
      <c r="H1131" s="38">
        <f t="shared" ca="1" si="53"/>
        <v>600</v>
      </c>
      <c r="I1131" s="38">
        <f t="shared" ca="1" si="53"/>
        <v>695</v>
      </c>
      <c r="J1131" s="38">
        <f t="shared" ca="1" si="53"/>
        <v>33.333333333333336</v>
      </c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</row>
    <row r="1132" spans="1:20" ht="15">
      <c r="A1132" s="3">
        <f t="shared" si="50"/>
        <v>2084</v>
      </c>
      <c r="B1132" s="3">
        <f t="shared" si="52"/>
        <v>366</v>
      </c>
      <c r="C1132" s="38">
        <f t="shared" ca="1" si="53"/>
        <v>154.75825</v>
      </c>
      <c r="D1132" s="38">
        <f t="shared" ca="1" si="53"/>
        <v>281.0162499999999</v>
      </c>
      <c r="E1132" s="38">
        <f t="shared" ca="1" si="53"/>
        <v>780.7254999999999</v>
      </c>
      <c r="F1132" s="38">
        <f t="shared" ca="1" si="53"/>
        <v>1216.5</v>
      </c>
      <c r="G1132" s="38">
        <f t="shared" ca="1" si="53"/>
        <v>79.166666666666671</v>
      </c>
      <c r="H1132" s="38">
        <f t="shared" ca="1" si="53"/>
        <v>600</v>
      </c>
      <c r="I1132" s="38">
        <f t="shared" ca="1" si="53"/>
        <v>695</v>
      </c>
      <c r="J1132" s="38">
        <f t="shared" ca="1" si="53"/>
        <v>33.333333333333336</v>
      </c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</row>
    <row r="1133" spans="1:20" ht="15">
      <c r="A1133" s="3">
        <f t="shared" si="50"/>
        <v>2085</v>
      </c>
      <c r="B1133" s="3">
        <f t="shared" si="52"/>
        <v>365</v>
      </c>
      <c r="C1133" s="38">
        <f t="shared" ca="1" si="53"/>
        <v>154.75825</v>
      </c>
      <c r="D1133" s="38">
        <f t="shared" ca="1" si="53"/>
        <v>281.0162499999999</v>
      </c>
      <c r="E1133" s="38">
        <f t="shared" ca="1" si="53"/>
        <v>780.7254999999999</v>
      </c>
      <c r="F1133" s="38">
        <f t="shared" ca="1" si="53"/>
        <v>1216.5</v>
      </c>
      <c r="G1133" s="38">
        <f t="shared" ca="1" si="53"/>
        <v>79.166666666666671</v>
      </c>
      <c r="H1133" s="38">
        <f t="shared" ca="1" si="53"/>
        <v>600</v>
      </c>
      <c r="I1133" s="38">
        <f t="shared" ca="1" si="53"/>
        <v>695</v>
      </c>
      <c r="J1133" s="38">
        <f t="shared" ca="1" si="53"/>
        <v>33.333333333333336</v>
      </c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</row>
    <row r="1134" spans="1:20" ht="15">
      <c r="A1134" s="3">
        <f t="shared" si="50"/>
        <v>2086</v>
      </c>
      <c r="B1134" s="3">
        <f t="shared" si="52"/>
        <v>365</v>
      </c>
      <c r="C1134" s="38">
        <f t="shared" ca="1" si="53"/>
        <v>154.75825</v>
      </c>
      <c r="D1134" s="38">
        <f t="shared" ca="1" si="53"/>
        <v>281.0162499999999</v>
      </c>
      <c r="E1134" s="38">
        <f t="shared" ca="1" si="53"/>
        <v>780.7254999999999</v>
      </c>
      <c r="F1134" s="38">
        <f t="shared" ca="1" si="53"/>
        <v>1216.5</v>
      </c>
      <c r="G1134" s="38">
        <f t="shared" ca="1" si="53"/>
        <v>79.166666666666671</v>
      </c>
      <c r="H1134" s="38">
        <f t="shared" ca="1" si="53"/>
        <v>600</v>
      </c>
      <c r="I1134" s="38">
        <f t="shared" ca="1" si="53"/>
        <v>695</v>
      </c>
      <c r="J1134" s="38">
        <f t="shared" ca="1" si="53"/>
        <v>33.333333333333336</v>
      </c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</row>
    <row r="1135" spans="1:20" ht="15">
      <c r="A1135" s="3">
        <f t="shared" si="50"/>
        <v>2087</v>
      </c>
      <c r="B1135" s="3">
        <f t="shared" si="52"/>
        <v>365</v>
      </c>
      <c r="C1135" s="38">
        <f t="shared" ca="1" si="53"/>
        <v>154.75825</v>
      </c>
      <c r="D1135" s="38">
        <f t="shared" ca="1" si="53"/>
        <v>281.0162499999999</v>
      </c>
      <c r="E1135" s="38">
        <f t="shared" ca="1" si="53"/>
        <v>780.7254999999999</v>
      </c>
      <c r="F1135" s="38">
        <f t="shared" ca="1" si="53"/>
        <v>1216.5</v>
      </c>
      <c r="G1135" s="38">
        <f t="shared" ca="1" si="53"/>
        <v>79.166666666666671</v>
      </c>
      <c r="H1135" s="38">
        <f t="shared" ca="1" si="53"/>
        <v>600</v>
      </c>
      <c r="I1135" s="38">
        <f t="shared" ca="1" si="53"/>
        <v>695</v>
      </c>
      <c r="J1135" s="38">
        <f t="shared" ca="1" si="53"/>
        <v>33.333333333333336</v>
      </c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</row>
    <row r="1136" spans="1:20" ht="15">
      <c r="A1136" s="3">
        <f t="shared" si="50"/>
        <v>2088</v>
      </c>
      <c r="B1136" s="3">
        <f t="shared" si="52"/>
        <v>366</v>
      </c>
      <c r="C1136" s="38">
        <f t="shared" ca="1" si="53"/>
        <v>154.75825</v>
      </c>
      <c r="D1136" s="38">
        <f t="shared" ca="1" si="53"/>
        <v>281.0162499999999</v>
      </c>
      <c r="E1136" s="38">
        <f t="shared" ca="1" si="53"/>
        <v>780.7254999999999</v>
      </c>
      <c r="F1136" s="38">
        <f t="shared" ca="1" si="53"/>
        <v>1216.5</v>
      </c>
      <c r="G1136" s="38">
        <f t="shared" ca="1" si="53"/>
        <v>79.166666666666671</v>
      </c>
      <c r="H1136" s="38">
        <f t="shared" ca="1" si="53"/>
        <v>600</v>
      </c>
      <c r="I1136" s="38">
        <f t="shared" ca="1" si="53"/>
        <v>695</v>
      </c>
      <c r="J1136" s="38">
        <f t="shared" ca="1" si="53"/>
        <v>33.333333333333336</v>
      </c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</row>
    <row r="1137" spans="1:20" ht="15">
      <c r="A1137" s="3">
        <f t="shared" si="50"/>
        <v>2089</v>
      </c>
      <c r="B1137" s="3">
        <f t="shared" si="52"/>
        <v>365</v>
      </c>
      <c r="C1137" s="38">
        <f t="shared" ca="1" si="53"/>
        <v>154.75825</v>
      </c>
      <c r="D1137" s="38">
        <f t="shared" ca="1" si="53"/>
        <v>281.0162499999999</v>
      </c>
      <c r="E1137" s="38">
        <f t="shared" ca="1" si="53"/>
        <v>780.7254999999999</v>
      </c>
      <c r="F1137" s="38">
        <f t="shared" ca="1" si="53"/>
        <v>1216.5</v>
      </c>
      <c r="G1137" s="38">
        <f t="shared" ca="1" si="53"/>
        <v>79.166666666666671</v>
      </c>
      <c r="H1137" s="38">
        <f t="shared" ca="1" si="53"/>
        <v>600</v>
      </c>
      <c r="I1137" s="38">
        <f t="shared" ca="1" si="53"/>
        <v>695</v>
      </c>
      <c r="J1137" s="38">
        <f t="shared" ca="1" si="53"/>
        <v>33.333333333333336</v>
      </c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</row>
    <row r="1138" spans="1:20" ht="15">
      <c r="A1138" s="3">
        <f t="shared" si="50"/>
        <v>2090</v>
      </c>
      <c r="B1138" s="3">
        <f t="shared" si="52"/>
        <v>365</v>
      </c>
      <c r="C1138" s="38">
        <f t="shared" ca="1" si="53"/>
        <v>154.75825</v>
      </c>
      <c r="D1138" s="38">
        <f t="shared" ca="1" si="53"/>
        <v>281.0162499999999</v>
      </c>
      <c r="E1138" s="38">
        <f t="shared" ca="1" si="53"/>
        <v>780.7254999999999</v>
      </c>
      <c r="F1138" s="38">
        <f t="shared" ca="1" si="53"/>
        <v>1216.5</v>
      </c>
      <c r="G1138" s="38">
        <f t="shared" ca="1" si="53"/>
        <v>79.166666666666671</v>
      </c>
      <c r="H1138" s="38">
        <f t="shared" ca="1" si="53"/>
        <v>600</v>
      </c>
      <c r="I1138" s="38">
        <f t="shared" ca="1" si="53"/>
        <v>695</v>
      </c>
      <c r="J1138" s="38">
        <f t="shared" ca="1" si="53"/>
        <v>33.333333333333336</v>
      </c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</row>
    <row r="1139" spans="1:20" ht="15">
      <c r="A1139" s="3">
        <f t="shared" si="50"/>
        <v>2091</v>
      </c>
      <c r="B1139" s="3">
        <f t="shared" si="52"/>
        <v>365</v>
      </c>
      <c r="C1139" s="38">
        <f t="shared" ca="1" si="53"/>
        <v>154.75825</v>
      </c>
      <c r="D1139" s="38">
        <f t="shared" ca="1" si="53"/>
        <v>281.0162499999999</v>
      </c>
      <c r="E1139" s="38">
        <f t="shared" ca="1" si="53"/>
        <v>780.7254999999999</v>
      </c>
      <c r="F1139" s="38">
        <f t="shared" ca="1" si="53"/>
        <v>1216.5</v>
      </c>
      <c r="G1139" s="38">
        <f t="shared" ca="1" si="53"/>
        <v>79.166666666666671</v>
      </c>
      <c r="H1139" s="38">
        <f t="shared" ca="1" si="53"/>
        <v>600</v>
      </c>
      <c r="I1139" s="38">
        <f t="shared" ca="1" si="53"/>
        <v>695</v>
      </c>
      <c r="J1139" s="38">
        <f t="shared" ca="1" si="53"/>
        <v>33.333333333333336</v>
      </c>
    </row>
    <row r="1140" spans="1:20" ht="15">
      <c r="A1140" s="3">
        <f t="shared" si="50"/>
        <v>2092</v>
      </c>
      <c r="B1140" s="3">
        <f t="shared" si="52"/>
        <v>366</v>
      </c>
      <c r="C1140" s="38">
        <f t="shared" ref="C1140:J1148" ca="1" si="54">AVERAGE(OFFSET(C$593,($A1140-$A$1110)*12,0,12,1))</f>
        <v>154.75825</v>
      </c>
      <c r="D1140" s="38">
        <f t="shared" ca="1" si="54"/>
        <v>281.0162499999999</v>
      </c>
      <c r="E1140" s="38">
        <f t="shared" ca="1" si="54"/>
        <v>780.7254999999999</v>
      </c>
      <c r="F1140" s="38">
        <f t="shared" ca="1" si="54"/>
        <v>1216.5</v>
      </c>
      <c r="G1140" s="38">
        <f t="shared" ca="1" si="54"/>
        <v>79.166666666666671</v>
      </c>
      <c r="H1140" s="38">
        <f t="shared" ca="1" si="54"/>
        <v>600</v>
      </c>
      <c r="I1140" s="38">
        <f t="shared" ca="1" si="54"/>
        <v>695</v>
      </c>
      <c r="J1140" s="38">
        <f t="shared" ca="1" si="54"/>
        <v>33.333333333333336</v>
      </c>
    </row>
    <row r="1141" spans="1:20" ht="15">
      <c r="A1141" s="3">
        <f t="shared" si="50"/>
        <v>2093</v>
      </c>
      <c r="B1141" s="3">
        <f t="shared" si="52"/>
        <v>365</v>
      </c>
      <c r="C1141" s="38">
        <f t="shared" ca="1" si="54"/>
        <v>154.75825</v>
      </c>
      <c r="D1141" s="38">
        <f t="shared" ca="1" si="54"/>
        <v>281.0162499999999</v>
      </c>
      <c r="E1141" s="38">
        <f t="shared" ca="1" si="54"/>
        <v>780.7254999999999</v>
      </c>
      <c r="F1141" s="38">
        <f t="shared" ca="1" si="54"/>
        <v>1216.5</v>
      </c>
      <c r="G1141" s="38">
        <f t="shared" ca="1" si="54"/>
        <v>79.166666666666671</v>
      </c>
      <c r="H1141" s="38">
        <f t="shared" ca="1" si="54"/>
        <v>600</v>
      </c>
      <c r="I1141" s="38">
        <f t="shared" ca="1" si="54"/>
        <v>695</v>
      </c>
      <c r="J1141" s="38">
        <f t="shared" ca="1" si="54"/>
        <v>33.333333333333336</v>
      </c>
    </row>
    <row r="1142" spans="1:20" ht="15">
      <c r="A1142" s="3">
        <f t="shared" si="50"/>
        <v>2094</v>
      </c>
      <c r="B1142" s="3">
        <f t="shared" si="52"/>
        <v>365</v>
      </c>
      <c r="C1142" s="38">
        <f t="shared" ca="1" si="54"/>
        <v>154.75825</v>
      </c>
      <c r="D1142" s="38">
        <f t="shared" ca="1" si="54"/>
        <v>281.0162499999999</v>
      </c>
      <c r="E1142" s="38">
        <f t="shared" ca="1" si="54"/>
        <v>780.7254999999999</v>
      </c>
      <c r="F1142" s="38">
        <f t="shared" ca="1" si="54"/>
        <v>1216.5</v>
      </c>
      <c r="G1142" s="38">
        <f t="shared" ca="1" si="54"/>
        <v>79.166666666666671</v>
      </c>
      <c r="H1142" s="38">
        <f t="shared" ca="1" si="54"/>
        <v>600</v>
      </c>
      <c r="I1142" s="38">
        <f t="shared" ca="1" si="54"/>
        <v>695</v>
      </c>
      <c r="J1142" s="38">
        <f t="shared" ca="1" si="54"/>
        <v>33.333333333333336</v>
      </c>
    </row>
    <row r="1143" spans="1:20" ht="15">
      <c r="A1143" s="3">
        <f t="shared" si="50"/>
        <v>2095</v>
      </c>
      <c r="B1143" s="3">
        <f t="shared" si="52"/>
        <v>365</v>
      </c>
      <c r="C1143" s="38">
        <f t="shared" ca="1" si="54"/>
        <v>154.75825</v>
      </c>
      <c r="D1143" s="38">
        <f t="shared" ca="1" si="54"/>
        <v>281.0162499999999</v>
      </c>
      <c r="E1143" s="38">
        <f t="shared" ca="1" si="54"/>
        <v>780.7254999999999</v>
      </c>
      <c r="F1143" s="38">
        <f t="shared" ca="1" si="54"/>
        <v>1216.5</v>
      </c>
      <c r="G1143" s="38">
        <f t="shared" ca="1" si="54"/>
        <v>79.166666666666671</v>
      </c>
      <c r="H1143" s="38">
        <f t="shared" ca="1" si="54"/>
        <v>600</v>
      </c>
      <c r="I1143" s="38">
        <f t="shared" ca="1" si="54"/>
        <v>695</v>
      </c>
      <c r="J1143" s="38">
        <f t="shared" ca="1" si="54"/>
        <v>33.333333333333336</v>
      </c>
    </row>
    <row r="1144" spans="1:20" ht="15">
      <c r="A1144" s="3">
        <f t="shared" si="50"/>
        <v>2096</v>
      </c>
      <c r="B1144" s="3">
        <f t="shared" si="52"/>
        <v>366</v>
      </c>
      <c r="C1144" s="38">
        <f t="shared" ca="1" si="54"/>
        <v>154.75825</v>
      </c>
      <c r="D1144" s="38">
        <f t="shared" ca="1" si="54"/>
        <v>281.0162499999999</v>
      </c>
      <c r="E1144" s="38">
        <f t="shared" ca="1" si="54"/>
        <v>780.7254999999999</v>
      </c>
      <c r="F1144" s="38">
        <f t="shared" ca="1" si="54"/>
        <v>1216.5</v>
      </c>
      <c r="G1144" s="38">
        <f t="shared" ca="1" si="54"/>
        <v>79.166666666666671</v>
      </c>
      <c r="H1144" s="38">
        <f t="shared" ca="1" si="54"/>
        <v>600</v>
      </c>
      <c r="I1144" s="38">
        <f t="shared" ca="1" si="54"/>
        <v>695</v>
      </c>
      <c r="J1144" s="38">
        <f t="shared" ca="1" si="54"/>
        <v>33.333333333333336</v>
      </c>
    </row>
    <row r="1145" spans="1:20" ht="15">
      <c r="A1145" s="3">
        <f t="shared" si="50"/>
        <v>2097</v>
      </c>
      <c r="B1145" s="3">
        <f t="shared" si="52"/>
        <v>365</v>
      </c>
      <c r="C1145" s="38">
        <f t="shared" ca="1" si="54"/>
        <v>154.75825</v>
      </c>
      <c r="D1145" s="38">
        <f t="shared" ca="1" si="54"/>
        <v>281.0162499999999</v>
      </c>
      <c r="E1145" s="38">
        <f t="shared" ca="1" si="54"/>
        <v>780.7254999999999</v>
      </c>
      <c r="F1145" s="38">
        <f t="shared" ca="1" si="54"/>
        <v>1216.5</v>
      </c>
      <c r="G1145" s="38">
        <f t="shared" ca="1" si="54"/>
        <v>79.166666666666671</v>
      </c>
      <c r="H1145" s="38">
        <f t="shared" ca="1" si="54"/>
        <v>600</v>
      </c>
      <c r="I1145" s="38">
        <f t="shared" ca="1" si="54"/>
        <v>695</v>
      </c>
      <c r="J1145" s="38">
        <f t="shared" ca="1" si="54"/>
        <v>33.333333333333336</v>
      </c>
    </row>
    <row r="1146" spans="1:20" ht="15">
      <c r="A1146" s="3">
        <f t="shared" si="50"/>
        <v>2098</v>
      </c>
      <c r="B1146" s="3">
        <f t="shared" si="52"/>
        <v>365</v>
      </c>
      <c r="C1146" s="38">
        <f t="shared" ca="1" si="54"/>
        <v>154.75825</v>
      </c>
      <c r="D1146" s="38">
        <f t="shared" ca="1" si="54"/>
        <v>281.0162499999999</v>
      </c>
      <c r="E1146" s="38">
        <f t="shared" ca="1" si="54"/>
        <v>780.7254999999999</v>
      </c>
      <c r="F1146" s="38">
        <f t="shared" ca="1" si="54"/>
        <v>1216.5</v>
      </c>
      <c r="G1146" s="38">
        <f t="shared" ca="1" si="54"/>
        <v>79.166666666666671</v>
      </c>
      <c r="H1146" s="38">
        <f t="shared" ca="1" si="54"/>
        <v>600</v>
      </c>
      <c r="I1146" s="38">
        <f t="shared" ca="1" si="54"/>
        <v>695</v>
      </c>
      <c r="J1146" s="38">
        <f t="shared" ca="1" si="54"/>
        <v>33.333333333333336</v>
      </c>
    </row>
    <row r="1147" spans="1:20" ht="15">
      <c r="A1147" s="3">
        <f t="shared" si="50"/>
        <v>2099</v>
      </c>
      <c r="B1147" s="3">
        <f t="shared" si="52"/>
        <v>365</v>
      </c>
      <c r="C1147" s="38">
        <f t="shared" ca="1" si="54"/>
        <v>154.75825</v>
      </c>
      <c r="D1147" s="38">
        <f t="shared" ca="1" si="54"/>
        <v>281.0162499999999</v>
      </c>
      <c r="E1147" s="38">
        <f t="shared" ca="1" si="54"/>
        <v>780.7254999999999</v>
      </c>
      <c r="F1147" s="38">
        <f t="shared" ca="1" si="54"/>
        <v>1216.5</v>
      </c>
      <c r="G1147" s="38">
        <f t="shared" ca="1" si="54"/>
        <v>79.166666666666671</v>
      </c>
      <c r="H1147" s="38">
        <f t="shared" ca="1" si="54"/>
        <v>600</v>
      </c>
      <c r="I1147" s="38">
        <f t="shared" ca="1" si="54"/>
        <v>695</v>
      </c>
      <c r="J1147" s="38">
        <f t="shared" ca="1" si="54"/>
        <v>33.333333333333336</v>
      </c>
    </row>
    <row r="1148" spans="1:20" ht="15">
      <c r="A1148" s="3">
        <f t="shared" si="50"/>
        <v>2100</v>
      </c>
      <c r="B1148" s="3">
        <f t="shared" si="52"/>
        <v>365</v>
      </c>
      <c r="C1148" s="38">
        <f t="shared" ca="1" si="54"/>
        <v>154.75825</v>
      </c>
      <c r="D1148" s="38">
        <f t="shared" ca="1" si="54"/>
        <v>281.0162499999999</v>
      </c>
      <c r="E1148" s="38">
        <f t="shared" ca="1" si="54"/>
        <v>780.7254999999999</v>
      </c>
      <c r="F1148" s="38">
        <f t="shared" ca="1" si="54"/>
        <v>1216.5</v>
      </c>
      <c r="G1148" s="38">
        <f t="shared" ca="1" si="54"/>
        <v>79.166666666666671</v>
      </c>
      <c r="H1148" s="38">
        <f t="shared" ca="1" si="54"/>
        <v>600</v>
      </c>
      <c r="I1148" s="38">
        <f t="shared" ca="1" si="54"/>
        <v>695</v>
      </c>
      <c r="J1148" s="38">
        <f t="shared" ca="1" si="54"/>
        <v>33.333333333333336</v>
      </c>
    </row>
    <row r="1149" spans="1:20">
      <c r="A1149" s="35"/>
      <c r="B1149" s="35"/>
      <c r="C1149" s="37"/>
      <c r="D1149" s="37"/>
      <c r="E1149" s="37"/>
      <c r="F1149" s="37"/>
      <c r="G1149" s="37"/>
    </row>
    <row r="1150" spans="1:20">
      <c r="A1150" s="35"/>
      <c r="B1150" s="35"/>
    </row>
    <row r="1151" spans="1:20">
      <c r="A1151" s="35"/>
      <c r="B1151" s="35"/>
    </row>
    <row r="1152" spans="1:20">
      <c r="A1152" s="35"/>
      <c r="B1152" s="35"/>
    </row>
    <row r="1153" spans="1:2">
      <c r="A1153" s="35"/>
      <c r="B1153" s="35"/>
    </row>
    <row r="1154" spans="1:2">
      <c r="A1154" s="35"/>
      <c r="B1154" s="35"/>
    </row>
    <row r="1155" spans="1:2">
      <c r="A1155" s="35"/>
      <c r="B1155" s="35"/>
    </row>
    <row r="1156" spans="1:2">
      <c r="A1156" s="35"/>
      <c r="B1156" s="35"/>
    </row>
    <row r="1157" spans="1:2">
      <c r="A1157" s="35"/>
      <c r="B1157" s="35"/>
    </row>
    <row r="1158" spans="1:2">
      <c r="A1158" s="35"/>
      <c r="B1158" s="35"/>
    </row>
    <row r="1159" spans="1:2">
      <c r="A1159" s="35"/>
      <c r="B1159" s="35"/>
    </row>
    <row r="1160" spans="1:2">
      <c r="A1160" s="35"/>
      <c r="B1160" s="35"/>
    </row>
    <row r="1161" spans="1:2">
      <c r="A1161" s="35"/>
      <c r="B1161" s="35"/>
    </row>
    <row r="1162" spans="1:2">
      <c r="A1162" s="35"/>
      <c r="B1162" s="35"/>
    </row>
    <row r="1163" spans="1:2">
      <c r="A1163" s="35"/>
      <c r="B1163" s="35"/>
    </row>
    <row r="1164" spans="1:2">
      <c r="A1164" s="35"/>
      <c r="B1164" s="35"/>
    </row>
    <row r="1165" spans="1:2">
      <c r="A1165" s="35"/>
      <c r="B1165" s="35"/>
    </row>
    <row r="1166" spans="1:2">
      <c r="A1166" s="35"/>
      <c r="B1166" s="35"/>
    </row>
    <row r="1167" spans="1:2">
      <c r="A1167" s="35"/>
      <c r="B1167" s="35"/>
    </row>
    <row r="1168" spans="1:2">
      <c r="A1168" s="35"/>
      <c r="B1168" s="35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8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H32" sqref="H32"/>
    </sheetView>
  </sheetViews>
  <sheetFormatPr defaultColWidth="7.109375" defaultRowHeight="12.75"/>
  <cols>
    <col min="1" max="1" width="7.5546875" style="36" bestFit="1" customWidth="1"/>
    <col min="2" max="2" width="10" style="36" customWidth="1"/>
    <col min="3" max="3" width="12" style="36" customWidth="1"/>
    <col min="4" max="4" width="12.109375" style="36" bestFit="1" customWidth="1"/>
    <col min="5" max="5" width="8.109375" style="36" customWidth="1"/>
    <col min="6" max="16384" width="7.109375" style="35"/>
  </cols>
  <sheetData>
    <row r="1" spans="1:7" ht="15.75">
      <c r="A1" s="87" t="s">
        <v>64</v>
      </c>
    </row>
    <row r="2" spans="1:7" ht="15.75">
      <c r="A2" s="87" t="s">
        <v>65</v>
      </c>
    </row>
    <row r="3" spans="1:7" ht="15.75">
      <c r="A3" s="87" t="s">
        <v>66</v>
      </c>
    </row>
    <row r="4" spans="1:7" ht="15.75">
      <c r="A4" s="87" t="s">
        <v>67</v>
      </c>
    </row>
    <row r="5" spans="1:7" ht="15.75">
      <c r="A5" s="87" t="s">
        <v>73</v>
      </c>
    </row>
    <row r="6" spans="1:7" ht="15.75">
      <c r="A6" s="87" t="s">
        <v>71</v>
      </c>
    </row>
    <row r="8" spans="1:7" ht="20.25">
      <c r="A8" s="34" t="s">
        <v>43</v>
      </c>
    </row>
    <row r="9" spans="1:7" ht="15" customHeight="1">
      <c r="A9" s="60" t="s">
        <v>25</v>
      </c>
    </row>
    <row r="10" spans="1:7" ht="15" customHeight="1">
      <c r="A10" s="65"/>
      <c r="F10" s="63"/>
      <c r="G10" s="63"/>
    </row>
    <row r="11" spans="1:7" ht="15" customHeight="1">
      <c r="A11" s="65"/>
      <c r="B11" s="64"/>
      <c r="C11" s="64"/>
      <c r="D11" s="64"/>
      <c r="E11" s="64"/>
      <c r="F11" s="63"/>
      <c r="G11" s="63"/>
    </row>
    <row r="12" spans="1:7" ht="15" customHeight="1"/>
    <row r="13" spans="1:7" ht="15" customHeight="1">
      <c r="B13" s="62" t="s">
        <v>24</v>
      </c>
      <c r="C13" s="61">
        <f>1-0.263</f>
        <v>0.73699999999999999</v>
      </c>
      <c r="D13" s="62" t="s">
        <v>23</v>
      </c>
      <c r="E13" s="61">
        <f>1+0.263</f>
        <v>1.2629999999999999</v>
      </c>
    </row>
    <row r="14" spans="1:7" ht="15" customHeight="1">
      <c r="A14" s="60"/>
      <c r="B14" s="90" t="s">
        <v>42</v>
      </c>
      <c r="C14" s="90"/>
      <c r="D14" s="59" t="s">
        <v>41</v>
      </c>
      <c r="E14" s="54"/>
    </row>
    <row r="15" spans="1:7" s="57" customFormat="1" ht="63">
      <c r="B15" s="58" t="s">
        <v>40</v>
      </c>
      <c r="C15" s="58" t="s">
        <v>39</v>
      </c>
      <c r="D15" s="58" t="s">
        <v>38</v>
      </c>
      <c r="E15" s="26" t="s">
        <v>37</v>
      </c>
    </row>
    <row r="16" spans="1:7" s="57" customFormat="1" ht="21" customHeight="1">
      <c r="A16" s="23" t="s">
        <v>2</v>
      </c>
      <c r="B16" s="49" t="s">
        <v>1</v>
      </c>
      <c r="C16" s="49" t="s">
        <v>1</v>
      </c>
      <c r="D16" s="49" t="s">
        <v>1</v>
      </c>
      <c r="E16" s="23" t="s">
        <v>36</v>
      </c>
    </row>
    <row r="17" spans="1:5" ht="15">
      <c r="A17" s="13">
        <v>41640</v>
      </c>
      <c r="B17" s="4">
        <v>16.436064253071699</v>
      </c>
      <c r="C17" s="4">
        <v>16.288836342915499</v>
      </c>
      <c r="D17" s="4">
        <v>24.229497427101201</v>
      </c>
      <c r="E17" s="4">
        <v>98.77</v>
      </c>
    </row>
    <row r="18" spans="1:5" ht="15">
      <c r="A18" s="13">
        <v>41671</v>
      </c>
      <c r="B18" s="4">
        <v>17.464204878071701</v>
      </c>
      <c r="C18" s="4">
        <v>17.316976967915501</v>
      </c>
      <c r="D18" s="4">
        <v>24.359056260720401</v>
      </c>
      <c r="E18" s="4">
        <v>94.99</v>
      </c>
    </row>
    <row r="19" spans="1:5" ht="15">
      <c r="A19" s="13">
        <v>41699</v>
      </c>
      <c r="B19" s="4">
        <v>17.5704548780717</v>
      </c>
      <c r="C19" s="4">
        <v>17.4232269679155</v>
      </c>
      <c r="D19" s="4">
        <v>23.297155060034299</v>
      </c>
      <c r="E19" s="4">
        <v>102.92</v>
      </c>
    </row>
    <row r="20" spans="1:5" ht="15">
      <c r="A20" s="13">
        <v>41730</v>
      </c>
      <c r="B20" s="4">
        <v>16.605954878071699</v>
      </c>
      <c r="C20" s="4">
        <v>16.458726967915499</v>
      </c>
      <c r="D20" s="4">
        <v>22.8128799313894</v>
      </c>
      <c r="E20" s="4">
        <v>99.43</v>
      </c>
    </row>
    <row r="21" spans="1:5" ht="15">
      <c r="A21" s="13">
        <v>41760</v>
      </c>
      <c r="B21" s="4">
        <v>16.420773787848599</v>
      </c>
      <c r="C21" s="4">
        <v>16.273553600348599</v>
      </c>
      <c r="D21" s="4">
        <v>23.1277790737564</v>
      </c>
      <c r="E21" s="4">
        <v>102.13</v>
      </c>
    </row>
    <row r="22" spans="1:5" ht="15">
      <c r="A22" s="13">
        <v>41791</v>
      </c>
      <c r="B22" s="4">
        <v>16.224492537848601</v>
      </c>
      <c r="C22" s="4">
        <v>16.077272350348601</v>
      </c>
      <c r="D22" s="4">
        <v>23.109257289879899</v>
      </c>
      <c r="E22" s="4">
        <v>102.44</v>
      </c>
    </row>
    <row r="23" spans="1:5" ht="15">
      <c r="A23" s="13">
        <v>41821</v>
      </c>
      <c r="B23" s="4">
        <f>16 * CHOOSE(CONTROL!$C$10, $C$13, 100%, $E$13) + CHOOSE(CONTROL!$C$29, 0.0272, 0)</f>
        <v>16.027200000000001</v>
      </c>
      <c r="C23" s="4">
        <f>15.6367 * CHOOSE(CONTROL!$C$10, $C$13, 100%, $E$13) + CHOOSE(CONTROL!$C$29, 0.0272, 0)</f>
        <v>15.6639</v>
      </c>
      <c r="D23" s="4">
        <f>23.2538 * CHOOSE(CONTROL!$C$10, $C$13, 100%, $E$13) + CHOOSE(CONTROL!$C$29, 0.0021, 0)</f>
        <v>23.255899999999997</v>
      </c>
      <c r="E23" s="4">
        <f>107.26 * CHOOSE(CONTROL!$C$10, $C$13, 100%, $E$13) + CHOOSE(CONTROL!$C$29, 0.0021, 0)</f>
        <v>107.2621</v>
      </c>
    </row>
    <row r="24" spans="1:5" ht="15">
      <c r="A24" s="13">
        <v>41852</v>
      </c>
      <c r="B24" s="4">
        <f>15.1181 * CHOOSE(CONTROL!$C$10, $C$13, 100%, $E$13) + CHOOSE(CONTROL!$C$29, 0.0272, 0)</f>
        <v>15.145300000000001</v>
      </c>
      <c r="C24" s="4">
        <f>14.7548 * CHOOSE(CONTROL!$C$10, $C$13, 100%, $E$13) + CHOOSE(CONTROL!$C$29, 0.0272, 0)</f>
        <v>14.782</v>
      </c>
      <c r="D24" s="4">
        <f>22.6472 * CHOOSE(CONTROL!$C$10, $C$13, 100%, $E$13) + CHOOSE(CONTROL!$C$29, 0.0021, 0)</f>
        <v>22.6493</v>
      </c>
      <c r="E24" s="4">
        <f>104.42 * CHOOSE(CONTROL!$C$10, $C$13, 100%, $E$13) + CHOOSE(CONTROL!$C$29, 0.0021, 0)</f>
        <v>104.4221</v>
      </c>
    </row>
    <row r="25" spans="1:5" ht="15">
      <c r="A25" s="13">
        <v>41883</v>
      </c>
      <c r="B25" s="4">
        <f>14.8465 * CHOOSE(CONTROL!$C$10, $C$13, 100%, $E$13) + CHOOSE(CONTROL!$C$29, 0.0272, 0)</f>
        <v>14.873700000000001</v>
      </c>
      <c r="C25" s="4">
        <f>14.4832 * CHOOSE(CONTROL!$C$10, $C$13, 100%, $E$13) + CHOOSE(CONTROL!$C$29, 0.0272, 0)</f>
        <v>14.510400000000001</v>
      </c>
      <c r="D25" s="4">
        <f>22.4332 * CHOOSE(CONTROL!$C$10, $C$13, 100%, $E$13) + CHOOSE(CONTROL!$C$29, 0.0021, 0)</f>
        <v>22.435299999999998</v>
      </c>
      <c r="E25" s="4">
        <f>96.07 * CHOOSE(CONTROL!$C$10, $C$13, 100%, $E$13) + CHOOSE(CONTROL!$C$29, 0.0021, 0)</f>
        <v>96.072099999999992</v>
      </c>
    </row>
    <row r="26" spans="1:5" ht="15">
      <c r="A26" s="13">
        <v>41913</v>
      </c>
      <c r="B26" s="4">
        <f>14.0206 * CHOOSE(CONTROL!$C$10, $C$13, 100%, $E$13) + CHOOSE(CONTROL!$C$29, 0.0272, 0)</f>
        <v>14.047800000000001</v>
      </c>
      <c r="C26" s="4">
        <f>13.6573 * CHOOSE(CONTROL!$C$10, $C$13, 100%, $E$13) + CHOOSE(CONTROL!$C$29, 0.0272, 0)</f>
        <v>13.6845</v>
      </c>
      <c r="D26" s="4">
        <f>20.9225 * CHOOSE(CONTROL!$C$10, $C$13, 100%, $E$13) + CHOOSE(CONTROL!$C$29, 0.0021, 0)</f>
        <v>20.924599999999998</v>
      </c>
      <c r="E26" s="4">
        <f>91.52 * CHOOSE(CONTROL!$C$10, $C$13, 100%, $E$13) + CHOOSE(CONTROL!$C$29, 0.0021, 0)</f>
        <v>91.522099999999995</v>
      </c>
    </row>
    <row r="27" spans="1:5" ht="15">
      <c r="A27" s="13">
        <v>41944</v>
      </c>
      <c r="B27" s="4">
        <f>14.2812 * CHOOSE(CONTROL!$C$10, $C$13, 100%, $E$13) + CHOOSE(CONTROL!$C$29, 0.0272, 0)</f>
        <v>14.308400000000001</v>
      </c>
      <c r="C27" s="4">
        <f>13.918 * CHOOSE(CONTROL!$C$10, $C$13, 100%, $E$13) + CHOOSE(CONTROL!$C$29, 0.0272, 0)</f>
        <v>13.9452</v>
      </c>
      <c r="D27" s="4">
        <f>20.7359 * CHOOSE(CONTROL!$C$10, $C$13, 100%, $E$13) + CHOOSE(CONTROL!$C$29, 0.0021, 0)</f>
        <v>20.738</v>
      </c>
      <c r="E27" s="4">
        <f>90.34 * CHOOSE(CONTROL!$C$10, $C$13, 100%, $E$13) + CHOOSE(CONTROL!$C$29, 0.0021, 0)</f>
        <v>90.342100000000002</v>
      </c>
    </row>
    <row r="28" spans="1:5" ht="15">
      <c r="A28" s="13">
        <v>41974</v>
      </c>
      <c r="B28" s="4">
        <f>14.1641 * CHOOSE(CONTROL!$C$10, $C$13, 100%, $E$13) + CHOOSE(CONTROL!$C$29, 0.0272, 0)</f>
        <v>14.1913</v>
      </c>
      <c r="C28" s="4">
        <f>13.8008 * CHOOSE(CONTROL!$C$10, $C$13, 100%, $E$13) + CHOOSE(CONTROL!$C$29, 0.0272, 0)</f>
        <v>13.828000000000001</v>
      </c>
      <c r="D28" s="4">
        <f>20.7626 * CHOOSE(CONTROL!$C$10, $C$13, 100%, $E$13) + CHOOSE(CONTROL!$C$29, 0.0021, 0)</f>
        <v>20.764699999999998</v>
      </c>
      <c r="E28" s="4">
        <f>89.34 * CHOOSE(CONTROL!$C$10, $C$13, 100%, $E$13) + CHOOSE(CONTROL!$C$29, 0.0021, 0)</f>
        <v>89.342100000000002</v>
      </c>
    </row>
    <row r="29" spans="1:5" ht="15">
      <c r="A29" s="13">
        <v>42005</v>
      </c>
      <c r="B29" s="4">
        <f>14.2266 * CHOOSE(CONTROL!$C$10, $C$13, 100%, $E$13) + CHOOSE(CONTROL!$C$29, 0.0272, 0)</f>
        <v>14.2538</v>
      </c>
      <c r="C29" s="4">
        <f>13.8633 * CHOOSE(CONTROL!$C$10, $C$13, 100%, $E$13) + CHOOSE(CONTROL!$C$29, 0.0272, 0)</f>
        <v>13.890500000000001</v>
      </c>
      <c r="D29" s="4">
        <f>20.7957 * CHOOSE(CONTROL!$C$10, $C$13, 100%, $E$13) + CHOOSE(CONTROL!$C$29, 0.0021, 0)</f>
        <v>20.797799999999999</v>
      </c>
      <c r="E29" s="4">
        <f>88.65 * CHOOSE(CONTROL!$C$10, $C$13, 100%, $E$13) + CHOOSE(CONTROL!$C$29, 0.0021, 0)</f>
        <v>88.652100000000004</v>
      </c>
    </row>
    <row r="30" spans="1:5" ht="15">
      <c r="A30" s="13">
        <v>42036</v>
      </c>
      <c r="B30" s="4">
        <f>14.2266 * CHOOSE(CONTROL!$C$10, $C$13, 100%, $E$13) + CHOOSE(CONTROL!$C$29, 0.0272, 0)</f>
        <v>14.2538</v>
      </c>
      <c r="C30" s="4">
        <f>13.8633 * CHOOSE(CONTROL!$C$10, $C$13, 100%, $E$13) + CHOOSE(CONTROL!$C$29, 0.0272, 0)</f>
        <v>13.890500000000001</v>
      </c>
      <c r="D30" s="4">
        <f>20.7979 * CHOOSE(CONTROL!$C$10, $C$13, 100%, $E$13) + CHOOSE(CONTROL!$C$29, 0.0021, 0)</f>
        <v>20.799999999999997</v>
      </c>
      <c r="E30" s="4">
        <f>88.11 * CHOOSE(CONTROL!$C$10, $C$13, 100%, $E$13) + CHOOSE(CONTROL!$C$29, 0.0021, 0)</f>
        <v>88.112099999999998</v>
      </c>
    </row>
    <row r="31" spans="1:5" ht="15">
      <c r="A31" s="13">
        <v>42064</v>
      </c>
      <c r="B31" s="4">
        <f>14.2266 * CHOOSE(CONTROL!$C$10, $C$13, 100%, $E$13) + CHOOSE(CONTROL!$C$29, 0.0272, 0)</f>
        <v>14.2538</v>
      </c>
      <c r="C31" s="4">
        <f>13.8633 * CHOOSE(CONTROL!$C$10, $C$13, 100%, $E$13) + CHOOSE(CONTROL!$C$29, 0.0272, 0)</f>
        <v>13.890500000000001</v>
      </c>
      <c r="D31" s="4">
        <f>20.7763 * CHOOSE(CONTROL!$C$10, $C$13, 100%, $E$13) + CHOOSE(CONTROL!$C$29, 0.0021, 0)</f>
        <v>20.778399999999998</v>
      </c>
      <c r="E31" s="4">
        <f>87.67 * CHOOSE(CONTROL!$C$10, $C$13, 100%, $E$13) + CHOOSE(CONTROL!$C$29, 0.0021, 0)</f>
        <v>87.6721</v>
      </c>
    </row>
    <row r="32" spans="1:5" ht="15">
      <c r="A32" s="13">
        <v>42095</v>
      </c>
      <c r="B32" s="4">
        <f>14.2266 * CHOOSE(CONTROL!$C$10, $C$13, 100%, $E$13) + CHOOSE(CONTROL!$C$29, 0.0272, 0)</f>
        <v>14.2538</v>
      </c>
      <c r="C32" s="4">
        <f>13.8633 * CHOOSE(CONTROL!$C$10, $C$13, 100%, $E$13) + CHOOSE(CONTROL!$C$29, 0.0272, 0)</f>
        <v>13.890500000000001</v>
      </c>
      <c r="D32" s="4">
        <f>20.7295 * CHOOSE(CONTROL!$C$10, $C$13, 100%, $E$13) + CHOOSE(CONTROL!$C$29, 0.0021, 0)</f>
        <v>20.7316</v>
      </c>
      <c r="E32" s="4">
        <f>87.24 * CHOOSE(CONTROL!$C$10, $C$13, 100%, $E$13) + CHOOSE(CONTROL!$C$29, 0.0021, 0)</f>
        <v>87.242099999999994</v>
      </c>
    </row>
    <row r="33" spans="1:5" ht="15">
      <c r="A33" s="13">
        <v>42125</v>
      </c>
      <c r="B33" s="4">
        <f>14.2344 * CHOOSE(CONTROL!$C$10, $C$13, 100%, $E$13) + CHOOSE(CONTROL!$C$29, 0.0272, 0)</f>
        <v>14.261600000000001</v>
      </c>
      <c r="C33" s="4">
        <f>13.8711 * CHOOSE(CONTROL!$C$10, $C$13, 100%, $E$13) + CHOOSE(CONTROL!$C$29, 0.0272, 0)</f>
        <v>13.898300000000001</v>
      </c>
      <c r="D33" s="4">
        <f>20.7302 * CHOOSE(CONTROL!$C$10, $C$13, 100%, $E$13) + CHOOSE(CONTROL!$C$29, 0.0021, 0)</f>
        <v>20.732299999999999</v>
      </c>
      <c r="E33" s="4">
        <f>86.9 * CHOOSE(CONTROL!$C$10, $C$13, 100%, $E$13) + CHOOSE(CONTROL!$C$29, 0.0021, 0)</f>
        <v>86.902100000000004</v>
      </c>
    </row>
    <row r="34" spans="1:5" ht="15">
      <c r="A34" s="13">
        <v>42156</v>
      </c>
      <c r="B34" s="4">
        <f>14.2422 * CHOOSE(CONTROL!$C$10, $C$13, 100%, $E$13) + CHOOSE(CONTROL!$C$29, 0.0272, 0)</f>
        <v>14.269400000000001</v>
      </c>
      <c r="C34" s="4">
        <f>13.8789 * CHOOSE(CONTROL!$C$10, $C$13, 100%, $E$13) + CHOOSE(CONTROL!$C$29, 0.0272, 0)</f>
        <v>13.9061</v>
      </c>
      <c r="D34" s="4">
        <f>20.7662 * CHOOSE(CONTROL!$C$10, $C$13, 100%, $E$13) + CHOOSE(CONTROL!$C$29, 0.0021, 0)</f>
        <v>20.7683</v>
      </c>
      <c r="E34" s="4">
        <f>86.6 * CHOOSE(CONTROL!$C$10, $C$13, 100%, $E$13) + CHOOSE(CONTROL!$C$29, 0.0021, 0)</f>
        <v>86.602099999999993</v>
      </c>
    </row>
    <row r="35" spans="1:5" ht="15">
      <c r="A35" s="13">
        <v>42186</v>
      </c>
      <c r="B35" s="4">
        <f>14.2578 * CHOOSE(CONTROL!$C$10, $C$13, 100%, $E$13) + CHOOSE(CONTROL!$C$29, 0.0272, 0)</f>
        <v>14.285</v>
      </c>
      <c r="C35" s="4">
        <f>13.8945 * CHOOSE(CONTROL!$C$10, $C$13, 100%, $E$13) + CHOOSE(CONTROL!$C$29, 0.0272, 0)</f>
        <v>13.921700000000001</v>
      </c>
      <c r="D35" s="4">
        <f>20.8382 * CHOOSE(CONTROL!$C$10, $C$13, 100%, $E$13) + CHOOSE(CONTROL!$C$29, 0.0021, 0)</f>
        <v>20.840299999999999</v>
      </c>
      <c r="E35" s="4">
        <f>86.26 * CHOOSE(CONTROL!$C$10, $C$13, 100%, $E$13) + CHOOSE(CONTROL!$C$29, 0.0021, 0)</f>
        <v>86.262100000000004</v>
      </c>
    </row>
    <row r="36" spans="1:5" ht="15">
      <c r="A36" s="13">
        <v>42217</v>
      </c>
      <c r="B36" s="4">
        <f>14.2734 * CHOOSE(CONTROL!$C$10, $C$13, 100%, $E$13) + CHOOSE(CONTROL!$C$29, 0.0272, 0)</f>
        <v>14.300600000000001</v>
      </c>
      <c r="C36" s="4">
        <f>13.9102 * CHOOSE(CONTROL!$C$10, $C$13, 100%, $E$13) + CHOOSE(CONTROL!$C$29, 0.0272, 0)</f>
        <v>13.9374</v>
      </c>
      <c r="D36" s="4">
        <f>20.9132 * CHOOSE(CONTROL!$C$10, $C$13, 100%, $E$13) + CHOOSE(CONTROL!$C$29, 0.0021, 0)</f>
        <v>20.915299999999998</v>
      </c>
      <c r="E36" s="4">
        <f>86 * CHOOSE(CONTROL!$C$10, $C$13, 100%, $E$13) + CHOOSE(CONTROL!$C$29, 0.0021, 0)</f>
        <v>86.002099999999999</v>
      </c>
    </row>
    <row r="37" spans="1:5" ht="15">
      <c r="A37" s="13">
        <v>42248</v>
      </c>
      <c r="B37" s="4">
        <f>14.2891 * CHOOSE(CONTROL!$C$10, $C$13, 100%, $E$13) + CHOOSE(CONTROL!$C$29, 0.0272, 0)</f>
        <v>14.3163</v>
      </c>
      <c r="C37" s="4">
        <f>13.9258 * CHOOSE(CONTROL!$C$10, $C$13, 100%, $E$13) + CHOOSE(CONTROL!$C$29, 0.0272, 0)</f>
        <v>13.953000000000001</v>
      </c>
      <c r="D37" s="4">
        <f>20.991 * CHOOSE(CONTROL!$C$10, $C$13, 100%, $E$13) + CHOOSE(CONTROL!$C$29, 0.0021, 0)</f>
        <v>20.993099999999998</v>
      </c>
      <c r="E37" s="4">
        <f>85.84 * CHOOSE(CONTROL!$C$10, $C$13, 100%, $E$13) + CHOOSE(CONTROL!$C$29, 0.0021, 0)</f>
        <v>85.842100000000002</v>
      </c>
    </row>
    <row r="38" spans="1:5" ht="15">
      <c r="A38" s="13">
        <v>42278</v>
      </c>
      <c r="B38" s="4">
        <f>14.3047 * CHOOSE(CONTROL!$C$10, $C$13, 100%, $E$13) + CHOOSE(CONTROL!$C$29, 0.0272, 0)</f>
        <v>14.331900000000001</v>
      </c>
      <c r="C38" s="4">
        <f>13.9414 * CHOOSE(CONTROL!$C$10, $C$13, 100%, $E$13) + CHOOSE(CONTROL!$C$29, 0.0272, 0)</f>
        <v>13.9686</v>
      </c>
      <c r="D38" s="4">
        <f>21.0435 * CHOOSE(CONTROL!$C$10, $C$13, 100%, $E$13) + CHOOSE(CONTROL!$C$29, 0.0021, 0)</f>
        <v>21.0456</v>
      </c>
      <c r="E38" s="4">
        <f>85.76 * CHOOSE(CONTROL!$C$10, $C$13, 100%, $E$13) + CHOOSE(CONTROL!$C$29, 0.0021, 0)</f>
        <v>85.762100000000004</v>
      </c>
    </row>
    <row r="39" spans="1:5" ht="15">
      <c r="A39" s="13">
        <v>42309</v>
      </c>
      <c r="B39" s="4">
        <f>14.3203 * CHOOSE(CONTROL!$C$10, $C$13, 100%, $E$13) + CHOOSE(CONTROL!$C$29, 0.0272, 0)</f>
        <v>14.3475</v>
      </c>
      <c r="C39" s="4">
        <f>13.957 * CHOOSE(CONTROL!$C$10, $C$13, 100%, $E$13) + CHOOSE(CONTROL!$C$29, 0.0272, 0)</f>
        <v>13.984200000000001</v>
      </c>
      <c r="D39" s="4">
        <f>21.0803 * CHOOSE(CONTROL!$C$10, $C$13, 100%, $E$13) + CHOOSE(CONTROL!$C$29, 0.0021, 0)</f>
        <v>21.0824</v>
      </c>
      <c r="E39" s="4">
        <f>85.75 * CHOOSE(CONTROL!$C$10, $C$13, 100%, $E$13) + CHOOSE(CONTROL!$C$29, 0.0021, 0)</f>
        <v>85.752099999999999</v>
      </c>
    </row>
    <row r="40" spans="1:5" ht="15">
      <c r="A40" s="13">
        <v>42339</v>
      </c>
      <c r="B40" s="4">
        <f>14.3359 * CHOOSE(CONTROL!$C$10, $C$13, 100%, $E$13) + CHOOSE(CONTROL!$C$29, 0.0272, 0)</f>
        <v>14.363100000000001</v>
      </c>
      <c r="C40" s="4">
        <f>13.9727 * CHOOSE(CONTROL!$C$10, $C$13, 100%, $E$13) + CHOOSE(CONTROL!$C$29, 0.0272, 0)</f>
        <v>13.9999</v>
      </c>
      <c r="D40" s="4">
        <f>21.099 * CHOOSE(CONTROL!$C$10, $C$13, 100%, $E$13) + CHOOSE(CONTROL!$C$29, 0.0021, 0)</f>
        <v>21.101099999999999</v>
      </c>
      <c r="E40" s="4">
        <f>85.74 * CHOOSE(CONTROL!$C$10, $C$13, 100%, $E$13) + CHOOSE(CONTROL!$C$29, 0.0021, 0)</f>
        <v>85.742099999999994</v>
      </c>
    </row>
    <row r="41" spans="1:5" ht="15">
      <c r="A41" s="13">
        <v>42370</v>
      </c>
      <c r="B41" s="4">
        <f>14.3672 * CHOOSE(CONTROL!$C$10, $C$13, 100%, $E$13) + CHOOSE(CONTROL!$C$29, 0.0272, 0)</f>
        <v>14.394400000000001</v>
      </c>
      <c r="C41" s="4">
        <f>14.0039 * CHOOSE(CONTROL!$C$10, $C$13, 100%, $E$13) + CHOOSE(CONTROL!$C$29, 0.0272, 0)</f>
        <v>14.0311</v>
      </c>
      <c r="D41" s="4">
        <f>21.1293 * CHOOSE(CONTROL!$C$10, $C$13, 100%, $E$13) + CHOOSE(CONTROL!$C$29, 0.0021, 0)</f>
        <v>21.131399999999999</v>
      </c>
      <c r="E41" s="4">
        <f>85.62 * CHOOSE(CONTROL!$C$10, $C$13, 100%, $E$13) + CHOOSE(CONTROL!$C$29, 0.0021, 0)</f>
        <v>85.622100000000003</v>
      </c>
    </row>
    <row r="42" spans="1:5" ht="15">
      <c r="A42" s="13">
        <v>42401</v>
      </c>
      <c r="B42" s="4">
        <f>14.375 * CHOOSE(CONTROL!$C$10, $C$13, 100%, $E$13) + CHOOSE(CONTROL!$C$29, 0.0272, 0)</f>
        <v>14.402200000000001</v>
      </c>
      <c r="C42" s="4">
        <f>14.0117 * CHOOSE(CONTROL!$C$10, $C$13, 100%, $E$13) + CHOOSE(CONTROL!$C$29, 0.0272, 0)</f>
        <v>14.0389</v>
      </c>
      <c r="D42" s="4">
        <f>21.0897 * CHOOSE(CONTROL!$C$10, $C$13, 100%, $E$13) + CHOOSE(CONTROL!$C$29, 0.0021, 0)</f>
        <v>21.091799999999999</v>
      </c>
      <c r="E42" s="4">
        <f>85.52 * CHOOSE(CONTROL!$C$10, $C$13, 100%, $E$13) + CHOOSE(CONTROL!$C$29, 0.0021, 0)</f>
        <v>85.522099999999995</v>
      </c>
    </row>
    <row r="43" spans="1:5" ht="15">
      <c r="A43" s="13">
        <v>42430</v>
      </c>
      <c r="B43" s="4">
        <f>14.3828 * CHOOSE(CONTROL!$C$10, $C$13, 100%, $E$13) + CHOOSE(CONTROL!$C$29, 0.0272, 0)</f>
        <v>14.41</v>
      </c>
      <c r="C43" s="4">
        <f>14.0195 * CHOOSE(CONTROL!$C$10, $C$13, 100%, $E$13) + CHOOSE(CONTROL!$C$29, 0.0272, 0)</f>
        <v>14.046700000000001</v>
      </c>
      <c r="D43" s="4">
        <f>21.0104 * CHOOSE(CONTROL!$C$10, $C$13, 100%, $E$13) + CHOOSE(CONTROL!$C$29, 0.0021, 0)</f>
        <v>21.012499999999999</v>
      </c>
      <c r="E43" s="4">
        <f>85.42 * CHOOSE(CONTROL!$C$10, $C$13, 100%, $E$13) + CHOOSE(CONTROL!$C$29, 0.0021, 0)</f>
        <v>85.4221</v>
      </c>
    </row>
    <row r="44" spans="1:5" ht="15">
      <c r="A44" s="13">
        <v>42461</v>
      </c>
      <c r="B44" s="4">
        <f>14.3906 * CHOOSE(CONTROL!$C$10, $C$13, 100%, $E$13) + CHOOSE(CONTROL!$C$29, 0.0272, 0)</f>
        <v>14.4178</v>
      </c>
      <c r="C44" s="4">
        <f>14.0273 * CHOOSE(CONTROL!$C$10, $C$13, 100%, $E$13) + CHOOSE(CONTROL!$C$29, 0.0272, 0)</f>
        <v>14.054500000000001</v>
      </c>
      <c r="D44" s="4">
        <f>20.9204 * CHOOSE(CONTROL!$C$10, $C$13, 100%, $E$13) + CHOOSE(CONTROL!$C$29, 0.0021, 0)</f>
        <v>20.922499999999999</v>
      </c>
      <c r="E44" s="4">
        <f>85.31 * CHOOSE(CONTROL!$C$10, $C$13, 100%, $E$13) + CHOOSE(CONTROL!$C$29, 0.0021, 0)</f>
        <v>85.312100000000001</v>
      </c>
    </row>
    <row r="45" spans="1:5" ht="15">
      <c r="A45" s="13">
        <v>42491</v>
      </c>
      <c r="B45" s="4">
        <f>14.3984 * CHOOSE(CONTROL!$C$10, $C$13, 100%, $E$13) + CHOOSE(CONTROL!$C$29, 0.0272, 0)</f>
        <v>14.425600000000001</v>
      </c>
      <c r="C45" s="4">
        <f>14.0352 * CHOOSE(CONTROL!$C$10, $C$13, 100%, $E$13) + CHOOSE(CONTROL!$C$29, 0.0272, 0)</f>
        <v>14.0624</v>
      </c>
      <c r="D45" s="4">
        <f>20.8555 * CHOOSE(CONTROL!$C$10, $C$13, 100%, $E$13) + CHOOSE(CONTROL!$C$29, 0.0021, 0)</f>
        <v>20.857599999999998</v>
      </c>
      <c r="E45" s="4">
        <f>85.22 * CHOOSE(CONTROL!$C$10, $C$13, 100%, $E$13) + CHOOSE(CONTROL!$C$29, 0.0021, 0)</f>
        <v>85.222099999999998</v>
      </c>
    </row>
    <row r="46" spans="1:5" ht="15">
      <c r="A46" s="13">
        <v>42522</v>
      </c>
      <c r="B46" s="4">
        <f>14.4062 * CHOOSE(CONTROL!$C$10, $C$13, 100%, $E$13) + CHOOSE(CONTROL!$C$29, 0.0272, 0)</f>
        <v>14.433400000000001</v>
      </c>
      <c r="C46" s="4">
        <f>14.043 * CHOOSE(CONTROL!$C$10, $C$13, 100%, $E$13) + CHOOSE(CONTROL!$C$29, 0.0272, 0)</f>
        <v>14.0702</v>
      </c>
      <c r="D46" s="4">
        <f>20.8231 * CHOOSE(CONTROL!$C$10, $C$13, 100%, $E$13) + CHOOSE(CONTROL!$C$29, 0.0021, 0)</f>
        <v>20.825199999999999</v>
      </c>
      <c r="E46" s="4">
        <f>85.18 * CHOOSE(CONTROL!$C$10, $C$13, 100%, $E$13) + CHOOSE(CONTROL!$C$29, 0.0021, 0)</f>
        <v>85.182100000000005</v>
      </c>
    </row>
    <row r="47" spans="1:5" ht="15">
      <c r="A47" s="13">
        <v>42552</v>
      </c>
      <c r="B47" s="4">
        <f>14.4141 * CHOOSE(CONTROL!$C$10, $C$13, 100%, $E$13) + CHOOSE(CONTROL!$C$29, 0.0272, 0)</f>
        <v>14.4413</v>
      </c>
      <c r="C47" s="4">
        <f>14.0508 * CHOOSE(CONTROL!$C$10, $C$13, 100%, $E$13) + CHOOSE(CONTROL!$C$29, 0.0272, 0)</f>
        <v>14.078000000000001</v>
      </c>
      <c r="D47" s="4">
        <f>20.8411 * CHOOSE(CONTROL!$C$10, $C$13, 100%, $E$13) + CHOOSE(CONTROL!$C$29, 0.0021, 0)</f>
        <v>20.8432</v>
      </c>
      <c r="E47" s="4">
        <f>85.02 * CHOOSE(CONTROL!$C$10, $C$13, 100%, $E$13) + CHOOSE(CONTROL!$C$29, 0.0021, 0)</f>
        <v>85.022099999999995</v>
      </c>
    </row>
    <row r="48" spans="1:5" ht="15">
      <c r="A48" s="13">
        <v>42583</v>
      </c>
      <c r="B48" s="4">
        <f>14.4219 * CHOOSE(CONTROL!$C$10, $C$13, 100%, $E$13) + CHOOSE(CONTROL!$C$29, 0.0272, 0)</f>
        <v>14.449100000000001</v>
      </c>
      <c r="C48" s="4">
        <f>14.0586 * CHOOSE(CONTROL!$C$10, $C$13, 100%, $E$13) + CHOOSE(CONTROL!$C$29, 0.0272, 0)</f>
        <v>14.085800000000001</v>
      </c>
      <c r="D48" s="4">
        <f>20.8591 * CHOOSE(CONTROL!$C$10, $C$13, 100%, $E$13) + CHOOSE(CONTROL!$C$29, 0.0021, 0)</f>
        <v>20.8612</v>
      </c>
      <c r="E48" s="4">
        <f>84.92 * CHOOSE(CONTROL!$C$10, $C$13, 100%, $E$13) + CHOOSE(CONTROL!$C$29, 0.0021, 0)</f>
        <v>84.9221</v>
      </c>
    </row>
    <row r="49" spans="1:5" ht="15">
      <c r="A49" s="13">
        <v>42614</v>
      </c>
      <c r="B49" s="4">
        <f>14.4297 * CHOOSE(CONTROL!$C$10, $C$13, 100%, $E$13) + CHOOSE(CONTROL!$C$29, 0.0272, 0)</f>
        <v>14.456900000000001</v>
      </c>
      <c r="C49" s="4">
        <f>14.0664 * CHOOSE(CONTROL!$C$10, $C$13, 100%, $E$13) + CHOOSE(CONTROL!$C$29, 0.0272, 0)</f>
        <v>14.0936</v>
      </c>
      <c r="D49" s="4">
        <f>20.8771 * CHOOSE(CONTROL!$C$10, $C$13, 100%, $E$13) + CHOOSE(CONTROL!$C$29, 0.0021, 0)</f>
        <v>20.879199999999997</v>
      </c>
      <c r="E49" s="4">
        <f>84.84 * CHOOSE(CONTROL!$C$10, $C$13, 100%, $E$13) + CHOOSE(CONTROL!$C$29, 0.0021, 0)</f>
        <v>84.842100000000002</v>
      </c>
    </row>
    <row r="50" spans="1:5" ht="15">
      <c r="A50" s="13">
        <v>42644</v>
      </c>
      <c r="B50" s="4">
        <f>14.4375 * CHOOSE(CONTROL!$C$10, $C$13, 100%, $E$13) + CHOOSE(CONTROL!$C$29, 0.0272, 0)</f>
        <v>14.464700000000001</v>
      </c>
      <c r="C50" s="4">
        <f>14.0742 * CHOOSE(CONTROL!$C$10, $C$13, 100%, $E$13) + CHOOSE(CONTROL!$C$29, 0.0272, 0)</f>
        <v>14.1014</v>
      </c>
      <c r="D50" s="4">
        <f>20.8915 * CHOOSE(CONTROL!$C$10, $C$13, 100%, $E$13) + CHOOSE(CONTROL!$C$29, 0.0021, 0)</f>
        <v>20.893599999999999</v>
      </c>
      <c r="E50" s="4">
        <f>84.8 * CHOOSE(CONTROL!$C$10, $C$13, 100%, $E$13) + CHOOSE(CONTROL!$C$29, 0.0021, 0)</f>
        <v>84.802099999999996</v>
      </c>
    </row>
    <row r="51" spans="1:5" ht="15">
      <c r="A51" s="13">
        <v>42675</v>
      </c>
      <c r="B51" s="4">
        <f>14.4453 * CHOOSE(CONTROL!$C$10, $C$13, 100%, $E$13) + CHOOSE(CONTROL!$C$29, 0.0272, 0)</f>
        <v>14.4725</v>
      </c>
      <c r="C51" s="4">
        <f>14.082 * CHOOSE(CONTROL!$C$10, $C$13, 100%, $E$13) + CHOOSE(CONTROL!$C$29, 0.0272, 0)</f>
        <v>14.109200000000001</v>
      </c>
      <c r="D51" s="4">
        <f>20.906 * CHOOSE(CONTROL!$C$10, $C$13, 100%, $E$13) + CHOOSE(CONTROL!$C$29, 0.0021, 0)</f>
        <v>20.908099999999997</v>
      </c>
      <c r="E51" s="4">
        <f>84.79 * CHOOSE(CONTROL!$C$10, $C$13, 100%, $E$13) + CHOOSE(CONTROL!$C$29, 0.0021, 0)</f>
        <v>84.792100000000005</v>
      </c>
    </row>
    <row r="52" spans="1:5" ht="15">
      <c r="A52" s="13">
        <v>42705</v>
      </c>
      <c r="B52" s="4">
        <f>14.4531 * CHOOSE(CONTROL!$C$10, $C$13, 100%, $E$13) + CHOOSE(CONTROL!$C$29, 0.0272, 0)</f>
        <v>14.4803</v>
      </c>
      <c r="C52" s="4">
        <f>14.0898 * CHOOSE(CONTROL!$C$10, $C$13, 100%, $E$13) + CHOOSE(CONTROL!$C$29, 0.0272, 0)</f>
        <v>14.117000000000001</v>
      </c>
      <c r="D52" s="4">
        <f>20.9204 * CHOOSE(CONTROL!$C$10, $C$13, 100%, $E$13) + CHOOSE(CONTROL!$C$29, 0.0021, 0)</f>
        <v>20.922499999999999</v>
      </c>
      <c r="E52" s="4">
        <f>84.8 * CHOOSE(CONTROL!$C$10, $C$13, 100%, $E$13) + CHOOSE(CONTROL!$C$29, 0.0021, 0)</f>
        <v>84.802099999999996</v>
      </c>
    </row>
    <row r="53" spans="1:5" ht="15">
      <c r="A53" s="13">
        <v>42736</v>
      </c>
      <c r="B53" s="4">
        <f>12.5987 * CHOOSE(CONTROL!$C$10, $C$13, 100%, $E$13) + CHOOSE(CONTROL!$C$29, 0.0272, 0)</f>
        <v>12.6259</v>
      </c>
      <c r="C53" s="4">
        <f>12.2355 * CHOOSE(CONTROL!$C$10, $C$13, 100%, $E$13) + CHOOSE(CONTROL!$C$29, 0.0272, 0)</f>
        <v>12.262700000000001</v>
      </c>
      <c r="D53" s="4">
        <f>18.9813 * CHOOSE(CONTROL!$C$10, $C$13, 100%, $E$13) + CHOOSE(CONTROL!$C$29, 0.0021, 0)</f>
        <v>18.9834</v>
      </c>
      <c r="E53" s="4">
        <f>75.440409111535 * CHOOSE(CONTROL!$C$10, $C$13, 100%, $E$13) + CHOOSE(CONTROL!$C$29, 0.0021, 0)</f>
        <v>75.442509111535003</v>
      </c>
    </row>
    <row r="54" spans="1:5" ht="15">
      <c r="A54" s="13">
        <v>42767</v>
      </c>
      <c r="B54" s="4">
        <f>12.8795 * CHOOSE(CONTROL!$C$10, $C$13, 100%, $E$13) + CHOOSE(CONTROL!$C$29, 0.0272, 0)</f>
        <v>12.906700000000001</v>
      </c>
      <c r="C54" s="4">
        <f>12.5162 * CHOOSE(CONTROL!$C$10, $C$13, 100%, $E$13) + CHOOSE(CONTROL!$C$29, 0.0272, 0)</f>
        <v>12.5434</v>
      </c>
      <c r="D54" s="4">
        <f>19.5859 * CHOOSE(CONTROL!$C$10, $C$13, 100%, $E$13) + CHOOSE(CONTROL!$C$29, 0.0021, 0)</f>
        <v>19.587999999999997</v>
      </c>
      <c r="E54" s="4">
        <f>77.2316617276634 * CHOOSE(CONTROL!$C$10, $C$13, 100%, $E$13) + CHOOSE(CONTROL!$C$29, 0.0021, 0)</f>
        <v>77.233761727663392</v>
      </c>
    </row>
    <row r="55" spans="1:5" ht="15">
      <c r="A55" s="13">
        <v>42795</v>
      </c>
      <c r="B55" s="4">
        <f>13.6169 * CHOOSE(CONTROL!$C$10, $C$13, 100%, $E$13) + CHOOSE(CONTROL!$C$29, 0.0272, 0)</f>
        <v>13.6441</v>
      </c>
      <c r="C55" s="4">
        <f>13.2536 * CHOOSE(CONTROL!$C$10, $C$13, 100%, $E$13) + CHOOSE(CONTROL!$C$29, 0.0272, 0)</f>
        <v>13.280800000000001</v>
      </c>
      <c r="D55" s="4">
        <f>20.5323 * CHOOSE(CONTROL!$C$10, $C$13, 100%, $E$13) + CHOOSE(CONTROL!$C$29, 0.0021, 0)</f>
        <v>20.534399999999998</v>
      </c>
      <c r="E55" s="4">
        <f>81.9355862905615 * CHOOSE(CONTROL!$C$10, $C$13, 100%, $E$13) + CHOOSE(CONTROL!$C$29, 0.0021, 0)</f>
        <v>81.937686290561501</v>
      </c>
    </row>
    <row r="56" spans="1:5" ht="15">
      <c r="A56" s="13">
        <v>42826</v>
      </c>
      <c r="B56" s="4">
        <f>14.1407 * CHOOSE(CONTROL!$C$10, $C$13, 100%, $E$13) + CHOOSE(CONTROL!$C$29, 0.0272, 0)</f>
        <v>14.167900000000001</v>
      </c>
      <c r="C56" s="4">
        <f>13.7775 * CHOOSE(CONTROL!$C$10, $C$13, 100%, $E$13) + CHOOSE(CONTROL!$C$29, 0.0272, 0)</f>
        <v>13.8047</v>
      </c>
      <c r="D56" s="4">
        <f>21.0775 * CHOOSE(CONTROL!$C$10, $C$13, 100%, $E$13) + CHOOSE(CONTROL!$C$29, 0.0021, 0)</f>
        <v>21.079599999999999</v>
      </c>
      <c r="E56" s="4">
        <f>85.2777873805379 * CHOOSE(CONTROL!$C$10, $C$13, 100%, $E$13) + CHOOSE(CONTROL!$C$29, 0.0021, 0)</f>
        <v>85.2798873805379</v>
      </c>
    </row>
    <row r="57" spans="1:5" ht="15">
      <c r="A57" s="13">
        <v>42856</v>
      </c>
      <c r="B57" s="4">
        <f>14.4608 * CHOOSE(CONTROL!$C$10, $C$13, 100%, $E$13) + CHOOSE(CONTROL!$C$29, 0.0272, 0)</f>
        <v>14.488000000000001</v>
      </c>
      <c r="C57" s="4">
        <f>14.0975 * CHOOSE(CONTROL!$C$10, $C$13, 100%, $E$13) + CHOOSE(CONTROL!$C$29, 0.0272, 0)</f>
        <v>14.124700000000001</v>
      </c>
      <c r="D57" s="4">
        <f>20.8621 * CHOOSE(CONTROL!$C$10, $C$13, 100%, $E$13) + CHOOSE(CONTROL!$C$29, 0.0021, 0)</f>
        <v>20.8642</v>
      </c>
      <c r="E57" s="4">
        <f>87.3197921451326 * CHOOSE(CONTROL!$C$10, $C$13, 100%, $E$13) + CHOOSE(CONTROL!$C$29, 0.0021, 0)</f>
        <v>87.321892145132594</v>
      </c>
    </row>
    <row r="58" spans="1:5" ht="15">
      <c r="A58" s="13">
        <v>42887</v>
      </c>
      <c r="B58" s="4">
        <f>14.5041 * CHOOSE(CONTROL!$C$10, $C$13, 100%, $E$13) + CHOOSE(CONTROL!$C$29, 0.0272, 0)</f>
        <v>14.5313</v>
      </c>
      <c r="C58" s="4">
        <f>14.1409 * CHOOSE(CONTROL!$C$10, $C$13, 100%, $E$13) + CHOOSE(CONTROL!$C$29, 0.0272, 0)</f>
        <v>14.168100000000001</v>
      </c>
      <c r="D58" s="4">
        <f>21.0375 * CHOOSE(CONTROL!$C$10, $C$13, 100%, $E$13) + CHOOSE(CONTROL!$C$29, 0.0021, 0)</f>
        <v>21.0396</v>
      </c>
      <c r="E58" s="4">
        <f>87.5960838642762 * CHOOSE(CONTROL!$C$10, $C$13, 100%, $E$13) + CHOOSE(CONTROL!$C$29, 0.0021, 0)</f>
        <v>87.598183864276194</v>
      </c>
    </row>
    <row r="59" spans="1:5" ht="15">
      <c r="A59" s="13">
        <v>42917</v>
      </c>
      <c r="B59" s="4">
        <f>14.4998 * CHOOSE(CONTROL!$C$10, $C$13, 100%, $E$13) + CHOOSE(CONTROL!$C$29, 0.0272, 0)</f>
        <v>14.527000000000001</v>
      </c>
      <c r="C59" s="4">
        <f>14.1365 * CHOOSE(CONTROL!$C$10, $C$13, 100%, $E$13) + CHOOSE(CONTROL!$C$29, 0.0272, 0)</f>
        <v>14.1637</v>
      </c>
      <c r="D59" s="4">
        <f>21.3541 * CHOOSE(CONTROL!$C$10, $C$13, 100%, $E$13) + CHOOSE(CONTROL!$C$29, 0.0021, 0)</f>
        <v>21.356199999999998</v>
      </c>
      <c r="E59" s="4">
        <f>87.5682225144466 * CHOOSE(CONTROL!$C$10, $C$13, 100%, $E$13) + CHOOSE(CONTROL!$C$29, 0.0021, 0)</f>
        <v>87.570322514446602</v>
      </c>
    </row>
    <row r="60" spans="1:5" ht="15">
      <c r="A60" s="13">
        <v>42948</v>
      </c>
      <c r="B60" s="4">
        <f>14.8284 * CHOOSE(CONTROL!$C$10, $C$13, 100%, $E$13) + CHOOSE(CONTROL!$C$29, 0.0272, 0)</f>
        <v>14.855600000000001</v>
      </c>
      <c r="C60" s="4">
        <f>14.4651 * CHOOSE(CONTROL!$C$10, $C$13, 100%, $E$13) + CHOOSE(CONTROL!$C$29, 0.0272, 0)</f>
        <v>14.4923</v>
      </c>
      <c r="D60" s="4">
        <f>21.145 * CHOOSE(CONTROL!$C$10, $C$13, 100%, $E$13) + CHOOSE(CONTROL!$C$29, 0.0021, 0)</f>
        <v>21.147099999999998</v>
      </c>
      <c r="E60" s="4">
        <f>89.6647890891243 * CHOOSE(CONTROL!$C$10, $C$13, 100%, $E$13) + CHOOSE(CONTROL!$C$29, 0.0021, 0)</f>
        <v>89.666889089124297</v>
      </c>
    </row>
    <row r="61" spans="1:5" ht="15">
      <c r="A61" s="13">
        <v>42979</v>
      </c>
      <c r="B61" s="4">
        <f>14.2683 * CHOOSE(CONTROL!$C$10, $C$13, 100%, $E$13) + CHOOSE(CONTROL!$C$29, 0.0272, 0)</f>
        <v>14.295500000000001</v>
      </c>
      <c r="C61" s="4">
        <f>13.905 * CHOOSE(CONTROL!$C$10, $C$13, 100%, $E$13) + CHOOSE(CONTROL!$C$29, 0.0272, 0)</f>
        <v>13.9322</v>
      </c>
      <c r="D61" s="4">
        <f>21.0462 * CHOOSE(CONTROL!$C$10, $C$13, 100%, $E$13) + CHOOSE(CONTROL!$C$29, 0.0021, 0)</f>
        <v>21.048299999999998</v>
      </c>
      <c r="E61" s="4">
        <f>86.0915709734776 * CHOOSE(CONTROL!$C$10, $C$13, 100%, $E$13) + CHOOSE(CONTROL!$C$29, 0.0021, 0)</f>
        <v>86.0936709734776</v>
      </c>
    </row>
    <row r="62" spans="1:5" ht="15">
      <c r="A62" s="13">
        <v>43009</v>
      </c>
      <c r="B62" s="4">
        <f>13.8199 * CHOOSE(CONTROL!$C$10, $C$13, 100%, $E$13) + CHOOSE(CONTROL!$C$29, 0.0272, 0)</f>
        <v>13.847100000000001</v>
      </c>
      <c r="C62" s="4">
        <f>13.4566 * CHOOSE(CONTROL!$C$10, $C$13, 100%, $E$13) + CHOOSE(CONTROL!$C$29, 0.0272, 0)</f>
        <v>13.4838</v>
      </c>
      <c r="D62" s="4">
        <f>20.7818 * CHOOSE(CONTROL!$C$10, $C$13, 100%, $E$13) + CHOOSE(CONTROL!$C$29, 0.0021, 0)</f>
        <v>20.783899999999999</v>
      </c>
      <c r="E62" s="4">
        <f>83.2311390576382 * CHOOSE(CONTROL!$C$10, $C$13, 100%, $E$13) + CHOOSE(CONTROL!$C$29, 0.0021, 0)</f>
        <v>83.233239057638201</v>
      </c>
    </row>
    <row r="63" spans="1:5" ht="15">
      <c r="A63" s="13">
        <v>43040</v>
      </c>
      <c r="B63" s="4">
        <f>13.5311 * CHOOSE(CONTROL!$C$10, $C$13, 100%, $E$13) + CHOOSE(CONTROL!$C$29, 0.0272, 0)</f>
        <v>13.558300000000001</v>
      </c>
      <c r="C63" s="4">
        <f>13.1679 * CHOOSE(CONTROL!$C$10, $C$13, 100%, $E$13) + CHOOSE(CONTROL!$C$29, 0.0272, 0)</f>
        <v>13.1951</v>
      </c>
      <c r="D63" s="4">
        <f>20.6908 * CHOOSE(CONTROL!$C$10, $C$13, 100%, $E$13) + CHOOSE(CONTROL!$C$29, 0.0021, 0)</f>
        <v>20.692899999999998</v>
      </c>
      <c r="E63" s="4">
        <f>81.3888073001556 * CHOOSE(CONTROL!$C$10, $C$13, 100%, $E$13) + CHOOSE(CONTROL!$C$29, 0.0021, 0)</f>
        <v>81.390907300155604</v>
      </c>
    </row>
    <row r="64" spans="1:5" ht="15">
      <c r="A64" s="13">
        <v>43070</v>
      </c>
      <c r="B64" s="4">
        <f>13.3313 * CHOOSE(CONTROL!$C$10, $C$13, 100%, $E$13) + CHOOSE(CONTROL!$C$29, 0.0272, 0)</f>
        <v>13.358500000000001</v>
      </c>
      <c r="C64" s="4">
        <f>12.9681 * CHOOSE(CONTROL!$C$10, $C$13, 100%, $E$13) + CHOOSE(CONTROL!$C$29, 0.0272, 0)</f>
        <v>12.9953</v>
      </c>
      <c r="D64" s="4">
        <f>20.0214 * CHOOSE(CONTROL!$C$10, $C$13, 100%, $E$13) + CHOOSE(CONTROL!$C$29, 0.0021, 0)</f>
        <v>20.023499999999999</v>
      </c>
      <c r="E64" s="4">
        <f>80.1141505454512 * CHOOSE(CONTROL!$C$10, $C$13, 100%, $E$13) + CHOOSE(CONTROL!$C$29, 0.0021, 0)</f>
        <v>80.116250545451194</v>
      </c>
    </row>
    <row r="65" spans="1:5" ht="15">
      <c r="A65" s="13">
        <v>43101</v>
      </c>
      <c r="B65" s="4">
        <f>12.7779 * CHOOSE(CONTROL!$C$10, $C$13, 100%, $E$13) + CHOOSE(CONTROL!$C$29, 0.0272, 0)</f>
        <v>12.805100000000001</v>
      </c>
      <c r="C65" s="4">
        <f>12.4146 * CHOOSE(CONTROL!$C$10, $C$13, 100%, $E$13) + CHOOSE(CONTROL!$C$29, 0.0272, 0)</f>
        <v>12.441800000000001</v>
      </c>
      <c r="D65" s="4">
        <f>19.5418 * CHOOSE(CONTROL!$C$10, $C$13, 100%, $E$13) + CHOOSE(CONTROL!$C$29, 0.0021, 0)</f>
        <v>19.543899999999997</v>
      </c>
      <c r="E65" s="4">
        <f>77.9679780106312 * CHOOSE(CONTROL!$C$10, $C$13, 100%, $E$13) + CHOOSE(CONTROL!$C$29, 0.0021, 0)</f>
        <v>77.970078010631198</v>
      </c>
    </row>
    <row r="66" spans="1:5" ht="15">
      <c r="A66" s="13">
        <v>43132</v>
      </c>
      <c r="B66" s="4">
        <f>13.0629 * CHOOSE(CONTROL!$C$10, $C$13, 100%, $E$13) + CHOOSE(CONTROL!$C$29, 0.0272, 0)</f>
        <v>13.090100000000001</v>
      </c>
      <c r="C66" s="4">
        <f>12.6996 * CHOOSE(CONTROL!$C$10, $C$13, 100%, $E$13) + CHOOSE(CONTROL!$C$29, 0.0272, 0)</f>
        <v>12.726800000000001</v>
      </c>
      <c r="D66" s="4">
        <f>20.1662 * CHOOSE(CONTROL!$C$10, $C$13, 100%, $E$13) + CHOOSE(CONTROL!$C$29, 0.0021, 0)</f>
        <v>20.168299999999999</v>
      </c>
      <c r="E66" s="4">
        <f>79.8192450733442 * CHOOSE(CONTROL!$C$10, $C$13, 100%, $E$13) + CHOOSE(CONTROL!$C$29, 0.0021, 0)</f>
        <v>79.821345073344204</v>
      </c>
    </row>
    <row r="67" spans="1:5" ht="15">
      <c r="A67" s="13">
        <v>43160</v>
      </c>
      <c r="B67" s="4">
        <f>13.8114 * CHOOSE(CONTROL!$C$10, $C$13, 100%, $E$13) + CHOOSE(CONTROL!$C$29, 0.0272, 0)</f>
        <v>13.838600000000001</v>
      </c>
      <c r="C67" s="4">
        <f>13.4481 * CHOOSE(CONTROL!$C$10, $C$13, 100%, $E$13) + CHOOSE(CONTROL!$C$29, 0.0272, 0)</f>
        <v>13.475300000000001</v>
      </c>
      <c r="D67" s="4">
        <f>21.1436 * CHOOSE(CONTROL!$C$10, $C$13, 100%, $E$13) + CHOOSE(CONTROL!$C$29, 0.0021, 0)</f>
        <v>21.145699999999998</v>
      </c>
      <c r="E67" s="4">
        <f>84.6807707623352 * CHOOSE(CONTROL!$C$10, $C$13, 100%, $E$13) + CHOOSE(CONTROL!$C$29, 0.0021, 0)</f>
        <v>84.682870762335199</v>
      </c>
    </row>
    <row r="68" spans="1:5" ht="15">
      <c r="A68" s="13">
        <v>43191</v>
      </c>
      <c r="B68" s="4">
        <f>14.3432 * CHOOSE(CONTROL!$C$10, $C$13, 100%, $E$13) + CHOOSE(CONTROL!$C$29, 0.0272, 0)</f>
        <v>14.3704</v>
      </c>
      <c r="C68" s="4">
        <f>13.9799 * CHOOSE(CONTROL!$C$10, $C$13, 100%, $E$13) + CHOOSE(CONTROL!$C$29, 0.0272, 0)</f>
        <v>14.007100000000001</v>
      </c>
      <c r="D68" s="4">
        <f>21.7066 * CHOOSE(CONTROL!$C$10, $C$13, 100%, $E$13) + CHOOSE(CONTROL!$C$29, 0.0021, 0)</f>
        <v>21.7087</v>
      </c>
      <c r="E68" s="4">
        <f>88.1349495527115 * CHOOSE(CONTROL!$C$10, $C$13, 100%, $E$13) + CHOOSE(CONTROL!$C$29, 0.0021, 0)</f>
        <v>88.137049552711503</v>
      </c>
    </row>
    <row r="69" spans="1:5" ht="15">
      <c r="A69" s="13">
        <v>43221</v>
      </c>
      <c r="B69" s="4">
        <f>14.6682 * CHOOSE(CONTROL!$C$10, $C$13, 100%, $E$13) + CHOOSE(CONTROL!$C$29, 0.0272, 0)</f>
        <v>14.695400000000001</v>
      </c>
      <c r="C69" s="4">
        <f>14.3049 * CHOOSE(CONTROL!$C$10, $C$13, 100%, $E$13) + CHOOSE(CONTROL!$C$29, 0.0272, 0)</f>
        <v>14.332100000000001</v>
      </c>
      <c r="D69" s="4">
        <f>21.4841 * CHOOSE(CONTROL!$C$10, $C$13, 100%, $E$13) + CHOOSE(CONTROL!$C$29, 0.0021, 0)</f>
        <v>21.4862</v>
      </c>
      <c r="E69" s="4">
        <f>90.2453700085198 * CHOOSE(CONTROL!$C$10, $C$13, 100%, $E$13) + CHOOSE(CONTROL!$C$29, 0.0021, 0)</f>
        <v>90.247470008519798</v>
      </c>
    </row>
    <row r="70" spans="1:5" ht="15">
      <c r="A70" s="13">
        <v>43252</v>
      </c>
      <c r="B70" s="4">
        <f>14.7121 * CHOOSE(CONTROL!$C$10, $C$13, 100%, $E$13) + CHOOSE(CONTROL!$C$29, 0.0272, 0)</f>
        <v>14.7393</v>
      </c>
      <c r="C70" s="4">
        <f>14.3488 * CHOOSE(CONTROL!$C$10, $C$13, 100%, $E$13) + CHOOSE(CONTROL!$C$29, 0.0272, 0)</f>
        <v>14.376000000000001</v>
      </c>
      <c r="D70" s="4">
        <f>21.6653 * CHOOSE(CONTROL!$C$10, $C$13, 100%, $E$13) + CHOOSE(CONTROL!$C$29, 0.0021, 0)</f>
        <v>21.667399999999997</v>
      </c>
      <c r="E70" s="4">
        <f>90.5309186546155 * CHOOSE(CONTROL!$C$10, $C$13, 100%, $E$13) + CHOOSE(CONTROL!$C$29, 0.0021, 0)</f>
        <v>90.533018654615503</v>
      </c>
    </row>
    <row r="71" spans="1:5" ht="15">
      <c r="A71" s="13">
        <v>43282</v>
      </c>
      <c r="B71" s="4">
        <f>14.7077 * CHOOSE(CONTROL!$C$10, $C$13, 100%, $E$13) + CHOOSE(CONTROL!$C$29, 0.0272, 0)</f>
        <v>14.734900000000001</v>
      </c>
      <c r="C71" s="4">
        <f>14.3444 * CHOOSE(CONTROL!$C$10, $C$13, 100%, $E$13) + CHOOSE(CONTROL!$C$29, 0.0272, 0)</f>
        <v>14.371600000000001</v>
      </c>
      <c r="D71" s="4">
        <f>21.9922 * CHOOSE(CONTROL!$C$10, $C$13, 100%, $E$13) + CHOOSE(CONTROL!$C$29, 0.0021, 0)</f>
        <v>21.994299999999999</v>
      </c>
      <c r="E71" s="4">
        <f>90.5021238331605 * CHOOSE(CONTROL!$C$10, $C$13, 100%, $E$13) + CHOOSE(CONTROL!$C$29, 0.0021, 0)</f>
        <v>90.504223833160495</v>
      </c>
    </row>
    <row r="72" spans="1:5" ht="15">
      <c r="A72" s="13">
        <v>43313</v>
      </c>
      <c r="B72" s="4">
        <f>15.0413 * CHOOSE(CONTROL!$C$10, $C$13, 100%, $E$13) + CHOOSE(CONTROL!$C$29, 0.0272, 0)</f>
        <v>15.0685</v>
      </c>
      <c r="C72" s="4">
        <f>14.678 * CHOOSE(CONTROL!$C$10, $C$13, 100%, $E$13) + CHOOSE(CONTROL!$C$29, 0.0272, 0)</f>
        <v>14.705200000000001</v>
      </c>
      <c r="D72" s="4">
        <f>21.7763 * CHOOSE(CONTROL!$C$10, $C$13, 100%, $E$13) + CHOOSE(CONTROL!$C$29, 0.0021, 0)</f>
        <v>21.778399999999998</v>
      </c>
      <c r="E72" s="4">
        <f>92.6689341476515 * CHOOSE(CONTROL!$C$10, $C$13, 100%, $E$13) + CHOOSE(CONTROL!$C$29, 0.0021, 0)</f>
        <v>92.671034147651497</v>
      </c>
    </row>
    <row r="73" spans="1:5" ht="15">
      <c r="A73" s="13">
        <v>43344</v>
      </c>
      <c r="B73" s="4">
        <f>14.4727 * CHOOSE(CONTROL!$C$10, $C$13, 100%, $E$13) + CHOOSE(CONTROL!$C$29, 0.0272, 0)</f>
        <v>14.4999</v>
      </c>
      <c r="C73" s="4">
        <f>14.1094 * CHOOSE(CONTROL!$C$10, $C$13, 100%, $E$13) + CHOOSE(CONTROL!$C$29, 0.0272, 0)</f>
        <v>14.136600000000001</v>
      </c>
      <c r="D73" s="4">
        <f>21.6743 * CHOOSE(CONTROL!$C$10, $C$13, 100%, $E$13) + CHOOSE(CONTROL!$C$29, 0.0021, 0)</f>
        <v>21.676399999999997</v>
      </c>
      <c r="E73" s="4">
        <f>88.9759982960439 * CHOOSE(CONTROL!$C$10, $C$13, 100%, $E$13) + CHOOSE(CONTROL!$C$29, 0.0021, 0)</f>
        <v>88.978098296043896</v>
      </c>
    </row>
    <row r="74" spans="1:5" ht="15">
      <c r="A74" s="13">
        <v>43374</v>
      </c>
      <c r="B74" s="4">
        <f>14.0176 * CHOOSE(CONTROL!$C$10, $C$13, 100%, $E$13) + CHOOSE(CONTROL!$C$29, 0.0272, 0)</f>
        <v>14.0448</v>
      </c>
      <c r="C74" s="4">
        <f>13.6543 * CHOOSE(CONTROL!$C$10, $C$13, 100%, $E$13) + CHOOSE(CONTROL!$C$29, 0.0272, 0)</f>
        <v>13.6815</v>
      </c>
      <c r="D74" s="4">
        <f>21.4011 * CHOOSE(CONTROL!$C$10, $C$13, 100%, $E$13) + CHOOSE(CONTROL!$C$29, 0.0021, 0)</f>
        <v>21.403199999999998</v>
      </c>
      <c r="E74" s="4">
        <f>86.0197299599941 * CHOOSE(CONTROL!$C$10, $C$13, 100%, $E$13) + CHOOSE(CONTROL!$C$29, 0.0021, 0)</f>
        <v>86.021829959994093</v>
      </c>
    </row>
    <row r="75" spans="1:5" ht="15">
      <c r="A75" s="13">
        <v>43405</v>
      </c>
      <c r="B75" s="4">
        <f>13.7244 * CHOOSE(CONTROL!$C$10, $C$13, 100%, $E$13) + CHOOSE(CONTROL!$C$29, 0.0272, 0)</f>
        <v>13.7516</v>
      </c>
      <c r="C75" s="4">
        <f>13.3611 * CHOOSE(CONTROL!$C$10, $C$13, 100%, $E$13) + CHOOSE(CONTROL!$C$29, 0.0272, 0)</f>
        <v>13.388300000000001</v>
      </c>
      <c r="D75" s="4">
        <f>21.3072 * CHOOSE(CONTROL!$C$10, $C$13, 100%, $E$13) + CHOOSE(CONTROL!$C$29, 0.0021, 0)</f>
        <v>21.3093</v>
      </c>
      <c r="E75" s="4">
        <f>84.1156723912802 * CHOOSE(CONTROL!$C$10, $C$13, 100%, $E$13) + CHOOSE(CONTROL!$C$29, 0.0021, 0)</f>
        <v>84.117772391280198</v>
      </c>
    </row>
    <row r="76" spans="1:5" ht="15">
      <c r="A76" s="13">
        <v>43435</v>
      </c>
      <c r="B76" s="4">
        <f>13.5216 * CHOOSE(CONTROL!$C$10, $C$13, 100%, $E$13) + CHOOSE(CONTROL!$C$29, 0.0272, 0)</f>
        <v>13.5488</v>
      </c>
      <c r="C76" s="4">
        <f>13.1583 * CHOOSE(CONTROL!$C$10, $C$13, 100%, $E$13) + CHOOSE(CONTROL!$C$29, 0.0272, 0)</f>
        <v>13.185500000000001</v>
      </c>
      <c r="D76" s="4">
        <f>20.6159 * CHOOSE(CONTROL!$C$10, $C$13, 100%, $E$13) + CHOOSE(CONTROL!$C$29, 0.0021, 0)</f>
        <v>20.617999999999999</v>
      </c>
      <c r="E76" s="4">
        <f>82.7983093097126 * CHOOSE(CONTROL!$C$10, $C$13, 100%, $E$13) + CHOOSE(CONTROL!$C$29, 0.0021, 0)</f>
        <v>82.800409309712592</v>
      </c>
    </row>
    <row r="77" spans="1:5" ht="15">
      <c r="A77" s="13">
        <v>43466</v>
      </c>
      <c r="B77" s="4">
        <f>13.8469 * CHOOSE(CONTROL!$C$10, $C$13, 100%, $E$13) + CHOOSE(CONTROL!$C$29, 0.0272, 0)</f>
        <v>13.8741</v>
      </c>
      <c r="C77" s="4">
        <f>13.4836 * CHOOSE(CONTROL!$C$10, $C$13, 100%, $E$13) + CHOOSE(CONTROL!$C$29, 0.0272, 0)</f>
        <v>13.5108</v>
      </c>
      <c r="D77" s="4">
        <f>20.8774 * CHOOSE(CONTROL!$C$10, $C$13, 100%, $E$13) + CHOOSE(CONTROL!$C$29, 0.0021, 0)</f>
        <v>20.8795</v>
      </c>
      <c r="E77" s="4">
        <f>88.3836714881211 * CHOOSE(CONTROL!$C$10, $C$13, 100%, $E$13) + CHOOSE(CONTROL!$C$29, 0.0021, 0)</f>
        <v>88.385771488121094</v>
      </c>
    </row>
    <row r="78" spans="1:5" ht="15">
      <c r="A78" s="13">
        <v>43497</v>
      </c>
      <c r="B78" s="4">
        <f>14.1573 * CHOOSE(CONTROL!$C$10, $C$13, 100%, $E$13) + CHOOSE(CONTROL!$C$29, 0.0272, 0)</f>
        <v>14.1845</v>
      </c>
      <c r="C78" s="4">
        <f>13.794 * CHOOSE(CONTROL!$C$10, $C$13, 100%, $E$13) + CHOOSE(CONTROL!$C$29, 0.0272, 0)</f>
        <v>13.821200000000001</v>
      </c>
      <c r="D78" s="4">
        <f>21.5488 * CHOOSE(CONTROL!$C$10, $C$13, 100%, $E$13) + CHOOSE(CONTROL!$C$29, 0.0021, 0)</f>
        <v>21.550899999999999</v>
      </c>
      <c r="E78" s="4">
        <f>90.4822481612945 * CHOOSE(CONTROL!$C$10, $C$13, 100%, $E$13) + CHOOSE(CONTROL!$C$29, 0.0021, 0)</f>
        <v>90.484348161294506</v>
      </c>
    </row>
    <row r="79" spans="1:5" ht="15">
      <c r="A79" s="13">
        <v>43525</v>
      </c>
      <c r="B79" s="4">
        <f>14.9725 * CHOOSE(CONTROL!$C$10, $C$13, 100%, $E$13) + CHOOSE(CONTROL!$C$29, 0.0272, 0)</f>
        <v>14.999700000000001</v>
      </c>
      <c r="C79" s="4">
        <f>14.6092 * CHOOSE(CONTROL!$C$10, $C$13, 100%, $E$13) + CHOOSE(CONTROL!$C$29, 0.0272, 0)</f>
        <v>14.6364</v>
      </c>
      <c r="D79" s="4">
        <f>22.6 * CHOOSE(CONTROL!$C$10, $C$13, 100%, $E$13) + CHOOSE(CONTROL!$C$29, 0.0021, 0)</f>
        <v>22.6021</v>
      </c>
      <c r="E79" s="4">
        <f>95.9932220301852 * CHOOSE(CONTROL!$C$10, $C$13, 100%, $E$13) + CHOOSE(CONTROL!$C$29, 0.0021, 0)</f>
        <v>95.995322030185193</v>
      </c>
    </row>
    <row r="80" spans="1:5" ht="15">
      <c r="A80" s="13">
        <v>43556</v>
      </c>
      <c r="B80" s="4">
        <f>15.5517 * CHOOSE(CONTROL!$C$10, $C$13, 100%, $E$13) + CHOOSE(CONTROL!$C$29, 0.0272, 0)</f>
        <v>15.578900000000001</v>
      </c>
      <c r="C80" s="4">
        <f>15.1884 * CHOOSE(CONTROL!$C$10, $C$13, 100%, $E$13) + CHOOSE(CONTROL!$C$29, 0.0272, 0)</f>
        <v>15.2156</v>
      </c>
      <c r="D80" s="4">
        <f>23.2055 * CHOOSE(CONTROL!$C$10, $C$13, 100%, $E$13) + CHOOSE(CONTROL!$C$29, 0.0021, 0)</f>
        <v>23.207599999999999</v>
      </c>
      <c r="E80" s="4">
        <f>99.9088424074154 * CHOOSE(CONTROL!$C$10, $C$13, 100%, $E$13) + CHOOSE(CONTROL!$C$29, 0.0021, 0)</f>
        <v>99.910942407415405</v>
      </c>
    </row>
    <row r="81" spans="1:5" ht="15">
      <c r="A81" s="13">
        <v>43586</v>
      </c>
      <c r="B81" s="4">
        <f>15.9055 * CHOOSE(CONTROL!$C$10, $C$13, 100%, $E$13) + CHOOSE(CONTROL!$C$29, 0.0272, 0)</f>
        <v>15.932700000000001</v>
      </c>
      <c r="C81" s="4">
        <f>15.5422 * CHOOSE(CONTROL!$C$10, $C$13, 100%, $E$13) + CHOOSE(CONTROL!$C$29, 0.0272, 0)</f>
        <v>15.5694</v>
      </c>
      <c r="D81" s="4">
        <f>22.9662 * CHOOSE(CONTROL!$C$10, $C$13, 100%, $E$13) + CHOOSE(CONTROL!$C$29, 0.0021, 0)</f>
        <v>22.968299999999999</v>
      </c>
      <c r="E81" s="4">
        <f>102.30119261358 * CHOOSE(CONTROL!$C$10, $C$13, 100%, $E$13) + CHOOSE(CONTROL!$C$29, 0.0021, 0)</f>
        <v>102.30329261358</v>
      </c>
    </row>
    <row r="82" spans="1:5" ht="15">
      <c r="A82" s="13">
        <v>43617</v>
      </c>
      <c r="B82" s="4">
        <f>15.9534 * CHOOSE(CONTROL!$C$10, $C$13, 100%, $E$13) + CHOOSE(CONTROL!$C$29, 0.0272, 0)</f>
        <v>15.980600000000001</v>
      </c>
      <c r="C82" s="4">
        <f>15.5901 * CHOOSE(CONTROL!$C$10, $C$13, 100%, $E$13) + CHOOSE(CONTROL!$C$29, 0.0272, 0)</f>
        <v>15.6173</v>
      </c>
      <c r="D82" s="4">
        <f>23.1611 * CHOOSE(CONTROL!$C$10, $C$13, 100%, $E$13) + CHOOSE(CONTROL!$C$29, 0.0021, 0)</f>
        <v>23.1632</v>
      </c>
      <c r="E82" s="4">
        <f>102.624887524931 * CHOOSE(CONTROL!$C$10, $C$13, 100%, $E$13) + CHOOSE(CONTROL!$C$29, 0.0021, 0)</f>
        <v>102.626987524931</v>
      </c>
    </row>
    <row r="83" spans="1:5" ht="15">
      <c r="A83" s="13">
        <v>43647</v>
      </c>
      <c r="B83" s="4">
        <f>15.9486 * CHOOSE(CONTROL!$C$10, $C$13, 100%, $E$13) + CHOOSE(CONTROL!$C$29, 0.0272, 0)</f>
        <v>15.975800000000001</v>
      </c>
      <c r="C83" s="4">
        <f>15.5853 * CHOOSE(CONTROL!$C$10, $C$13, 100%, $E$13) + CHOOSE(CONTROL!$C$29, 0.0272, 0)</f>
        <v>15.612500000000001</v>
      </c>
      <c r="D83" s="4">
        <f>23.5127 * CHOOSE(CONTROL!$C$10, $C$13, 100%, $E$13) + CHOOSE(CONTROL!$C$29, 0.0021, 0)</f>
        <v>23.514799999999997</v>
      </c>
      <c r="E83" s="4">
        <f>102.592246021266 * CHOOSE(CONTROL!$C$10, $C$13, 100%, $E$13) + CHOOSE(CONTROL!$C$29, 0.0021, 0)</f>
        <v>102.59434602126601</v>
      </c>
    </row>
    <row r="84" spans="1:5" ht="15">
      <c r="A84" s="13">
        <v>43678</v>
      </c>
      <c r="B84" s="4">
        <f>16.3119 * CHOOSE(CONTROL!$C$10, $C$13, 100%, $E$13) + CHOOSE(CONTROL!$C$29, 0.0272, 0)</f>
        <v>16.339100000000002</v>
      </c>
      <c r="C84" s="4">
        <f>15.9486 * CHOOSE(CONTROL!$C$10, $C$13, 100%, $E$13) + CHOOSE(CONTROL!$C$29, 0.0272, 0)</f>
        <v>15.975800000000001</v>
      </c>
      <c r="D84" s="4">
        <f>23.2805 * CHOOSE(CONTROL!$C$10, $C$13, 100%, $E$13) + CHOOSE(CONTROL!$C$29, 0.0021, 0)</f>
        <v>23.282599999999999</v>
      </c>
      <c r="E84" s="4">
        <f>105.048519172109 * CHOOSE(CONTROL!$C$10, $C$13, 100%, $E$13) + CHOOSE(CONTROL!$C$29, 0.0021, 0)</f>
        <v>105.05061917210899</v>
      </c>
    </row>
    <row r="85" spans="1:5" ht="15">
      <c r="A85" s="13">
        <v>43709</v>
      </c>
      <c r="B85" s="4">
        <f>15.6927 * CHOOSE(CONTROL!$C$10, $C$13, 100%, $E$13) + CHOOSE(CONTROL!$C$29, 0.0272, 0)</f>
        <v>15.719900000000001</v>
      </c>
      <c r="C85" s="4">
        <f>15.3294 * CHOOSE(CONTROL!$C$10, $C$13, 100%, $E$13) + CHOOSE(CONTROL!$C$29, 0.0272, 0)</f>
        <v>15.3566</v>
      </c>
      <c r="D85" s="4">
        <f>23.1708 * CHOOSE(CONTROL!$C$10, $C$13, 100%, $E$13) + CHOOSE(CONTROL!$C$29, 0.0021, 0)</f>
        <v>23.172899999999998</v>
      </c>
      <c r="E85" s="4">
        <f>100.862246326984 * CHOOSE(CONTROL!$C$10, $C$13, 100%, $E$13) + CHOOSE(CONTROL!$C$29, 0.0021, 0)</f>
        <v>100.86434632698401</v>
      </c>
    </row>
    <row r="86" spans="1:5" ht="15">
      <c r="A86" s="13">
        <v>43739</v>
      </c>
      <c r="B86" s="4">
        <f>15.197 * CHOOSE(CONTROL!$C$10, $C$13, 100%, $E$13) + CHOOSE(CONTROL!$C$29, 0.0272, 0)</f>
        <v>15.2242</v>
      </c>
      <c r="C86" s="4">
        <f>14.8337 * CHOOSE(CONTROL!$C$10, $C$13, 100%, $E$13) + CHOOSE(CONTROL!$C$29, 0.0272, 0)</f>
        <v>14.860900000000001</v>
      </c>
      <c r="D86" s="4">
        <f>22.877 * CHOOSE(CONTROL!$C$10, $C$13, 100%, $E$13) + CHOOSE(CONTROL!$C$29, 0.0021, 0)</f>
        <v>22.879099999999998</v>
      </c>
      <c r="E86" s="4">
        <f>97.5110519506398 * CHOOSE(CONTROL!$C$10, $C$13, 100%, $E$13) + CHOOSE(CONTROL!$C$29, 0.0021, 0)</f>
        <v>97.513151950639795</v>
      </c>
    </row>
    <row r="87" spans="1:5" ht="15">
      <c r="A87" s="13">
        <v>43770</v>
      </c>
      <c r="B87" s="4">
        <f>14.8777 * CHOOSE(CONTROL!$C$10, $C$13, 100%, $E$13) + CHOOSE(CONTROL!$C$29, 0.0272, 0)</f>
        <v>14.904900000000001</v>
      </c>
      <c r="C87" s="4">
        <f>14.5144 * CHOOSE(CONTROL!$C$10, $C$13, 100%, $E$13) + CHOOSE(CONTROL!$C$29, 0.0272, 0)</f>
        <v>14.541600000000001</v>
      </c>
      <c r="D87" s="4">
        <f>22.7761 * CHOOSE(CONTROL!$C$10, $C$13, 100%, $E$13) + CHOOSE(CONTROL!$C$29, 0.0021, 0)</f>
        <v>22.778199999999998</v>
      </c>
      <c r="E87" s="4">
        <f>95.352632520746 * CHOOSE(CONTROL!$C$10, $C$13, 100%, $E$13) + CHOOSE(CONTROL!$C$29, 0.0021, 0)</f>
        <v>95.354732520745998</v>
      </c>
    </row>
    <row r="88" spans="1:5" ht="15">
      <c r="A88" s="13">
        <v>43800</v>
      </c>
      <c r="B88" s="4">
        <f>14.6568 * CHOOSE(CONTROL!$C$10, $C$13, 100%, $E$13) + CHOOSE(CONTROL!$C$29, 0.0272, 0)</f>
        <v>14.684000000000001</v>
      </c>
      <c r="C88" s="4">
        <f>14.2935 * CHOOSE(CONTROL!$C$10, $C$13, 100%, $E$13) + CHOOSE(CONTROL!$C$29, 0.0272, 0)</f>
        <v>14.3207</v>
      </c>
      <c r="D88" s="4">
        <f>22.0325 * CHOOSE(CONTROL!$C$10, $C$13, 100%, $E$13) + CHOOSE(CONTROL!$C$29, 0.0021, 0)</f>
        <v>22.034599999999998</v>
      </c>
      <c r="E88" s="4">
        <f>93.8592837280407 * CHOOSE(CONTROL!$C$10, $C$13, 100%, $E$13) + CHOOSE(CONTROL!$C$29, 0.0021, 0)</f>
        <v>93.861383728040693</v>
      </c>
    </row>
    <row r="89" spans="1:5" ht="15">
      <c r="A89" s="13">
        <v>43831</v>
      </c>
      <c r="B89" s="4">
        <f>15.1357 * CHOOSE(CONTROL!$C$10, $C$13, 100%, $E$13) + CHOOSE(CONTROL!$C$29, 0.0272, 0)</f>
        <v>15.1629</v>
      </c>
      <c r="C89" s="4">
        <f>14.7724 * CHOOSE(CONTROL!$C$10, $C$13, 100%, $E$13) + CHOOSE(CONTROL!$C$29, 0.0272, 0)</f>
        <v>14.7996</v>
      </c>
      <c r="D89" s="4">
        <f>22.3282 * CHOOSE(CONTROL!$C$10, $C$13, 100%, $E$13) + CHOOSE(CONTROL!$C$29, 0.0021, 0)</f>
        <v>22.330299999999998</v>
      </c>
      <c r="E89" s="4">
        <f>95.5226795181272 * CHOOSE(CONTROL!$C$10, $C$13, 100%, $E$13) + CHOOSE(CONTROL!$C$29, 0.0021, 0)</f>
        <v>95.524779518127204</v>
      </c>
    </row>
    <row r="90" spans="1:5" ht="15">
      <c r="A90" s="13">
        <v>43862</v>
      </c>
      <c r="B90" s="4">
        <f>15.4767 * CHOOSE(CONTROL!$C$10, $C$13, 100%, $E$13) + CHOOSE(CONTROL!$C$29, 0.0272, 0)</f>
        <v>15.5039</v>
      </c>
      <c r="C90" s="4">
        <f>15.1134 * CHOOSE(CONTROL!$C$10, $C$13, 100%, $E$13) + CHOOSE(CONTROL!$C$29, 0.0272, 0)</f>
        <v>15.140600000000001</v>
      </c>
      <c r="D90" s="4">
        <f>23.0509 * CHOOSE(CONTROL!$C$10, $C$13, 100%, $E$13) + CHOOSE(CONTROL!$C$29, 0.0021, 0)</f>
        <v>23.052999999999997</v>
      </c>
      <c r="E90" s="4">
        <f>97.7907643761171 * CHOOSE(CONTROL!$C$10, $C$13, 100%, $E$13) + CHOOSE(CONTROL!$C$29, 0.0021, 0)</f>
        <v>97.792864376117095</v>
      </c>
    </row>
    <row r="91" spans="1:5" ht="15">
      <c r="A91" s="13">
        <v>43891</v>
      </c>
      <c r="B91" s="4">
        <f>16.3722 * CHOOSE(CONTROL!$C$10, $C$13, 100%, $E$13) + CHOOSE(CONTROL!$C$29, 0.0272, 0)</f>
        <v>16.3994</v>
      </c>
      <c r="C91" s="4">
        <f>16.0089 * CHOOSE(CONTROL!$C$10, $C$13, 100%, $E$13) + CHOOSE(CONTROL!$C$29, 0.0272, 0)</f>
        <v>16.036100000000001</v>
      </c>
      <c r="D91" s="4">
        <f>24.1822 * CHOOSE(CONTROL!$C$10, $C$13, 100%, $E$13) + CHOOSE(CONTROL!$C$29, 0.0021, 0)</f>
        <v>24.1843</v>
      </c>
      <c r="E91" s="4">
        <f>103.746875746548 * CHOOSE(CONTROL!$C$10, $C$13, 100%, $E$13) + CHOOSE(CONTROL!$C$29, 0.0021, 0)</f>
        <v>103.748975746548</v>
      </c>
    </row>
    <row r="92" spans="1:5" ht="15">
      <c r="A92" s="13">
        <v>43922</v>
      </c>
      <c r="B92" s="4">
        <f>17.0085 * CHOOSE(CONTROL!$C$10, $C$13, 100%, $E$13) + CHOOSE(CONTROL!$C$29, 0.0272, 0)</f>
        <v>17.035700000000002</v>
      </c>
      <c r="C92" s="4">
        <f>16.6452 * CHOOSE(CONTROL!$C$10, $C$13, 100%, $E$13) + CHOOSE(CONTROL!$C$29, 0.0272, 0)</f>
        <v>16.6724</v>
      </c>
      <c r="D92" s="4">
        <f>24.8338 * CHOOSE(CONTROL!$C$10, $C$13, 100%, $E$13) + CHOOSE(CONTROL!$C$29, 0.0021, 0)</f>
        <v>24.835899999999999</v>
      </c>
      <c r="E92" s="4">
        <f>107.97877225086 * CHOOSE(CONTROL!$C$10, $C$13, 100%, $E$13) + CHOOSE(CONTROL!$C$29, 0.0021, 0)</f>
        <v>107.98087225086</v>
      </c>
    </row>
    <row r="93" spans="1:5" ht="15">
      <c r="A93" s="13">
        <v>43952</v>
      </c>
      <c r="B93" s="4">
        <f>17.3973 * CHOOSE(CONTROL!$C$10, $C$13, 100%, $E$13) + CHOOSE(CONTROL!$C$29, 0.0272, 0)</f>
        <v>17.424500000000002</v>
      </c>
      <c r="C93" s="4">
        <f>17.034 * CHOOSE(CONTROL!$C$10, $C$13, 100%, $E$13) + CHOOSE(CONTROL!$C$29, 0.0272, 0)</f>
        <v>17.061199999999999</v>
      </c>
      <c r="D93" s="4">
        <f>24.5763 * CHOOSE(CONTROL!$C$10, $C$13, 100%, $E$13) + CHOOSE(CONTROL!$C$29, 0.0021, 0)</f>
        <v>24.578399999999998</v>
      </c>
      <c r="E93" s="4">
        <f>110.56435959059 * CHOOSE(CONTROL!$C$10, $C$13, 100%, $E$13) + CHOOSE(CONTROL!$C$29, 0.0021, 0)</f>
        <v>110.56645959059</v>
      </c>
    </row>
    <row r="94" spans="1:5" ht="15">
      <c r="A94" s="13">
        <v>43983</v>
      </c>
      <c r="B94" s="4">
        <f>17.4499 * CHOOSE(CONTROL!$C$10, $C$13, 100%, $E$13) + CHOOSE(CONTROL!$C$29, 0.0272, 0)</f>
        <v>17.4771</v>
      </c>
      <c r="C94" s="4">
        <f>17.0866 * CHOOSE(CONTROL!$C$10, $C$13, 100%, $E$13) + CHOOSE(CONTROL!$C$29, 0.0272, 0)</f>
        <v>17.113800000000001</v>
      </c>
      <c r="D94" s="4">
        <f>24.7861 * CHOOSE(CONTROL!$C$10, $C$13, 100%, $E$13) + CHOOSE(CONTROL!$C$29, 0.0021, 0)</f>
        <v>24.7882</v>
      </c>
      <c r="E94" s="4">
        <f>110.914200288063 * CHOOSE(CONTROL!$C$10, $C$13, 100%, $E$13) + CHOOSE(CONTROL!$C$29, 0.0021, 0)</f>
        <v>110.916300288063</v>
      </c>
    </row>
    <row r="95" spans="1:5" ht="15">
      <c r="A95" s="13">
        <v>44013</v>
      </c>
      <c r="B95" s="4">
        <f>17.4446 * CHOOSE(CONTROL!$C$10, $C$13, 100%, $E$13) + CHOOSE(CONTROL!$C$29, 0.0272, 0)</f>
        <v>17.471800000000002</v>
      </c>
      <c r="C95" s="4">
        <f>17.0813 * CHOOSE(CONTROL!$C$10, $C$13, 100%, $E$13) + CHOOSE(CONTROL!$C$29, 0.0272, 0)</f>
        <v>17.108499999999999</v>
      </c>
      <c r="D95" s="4">
        <f>25.1645 * CHOOSE(CONTROL!$C$10, $C$13, 100%, $E$13) + CHOOSE(CONTROL!$C$29, 0.0021, 0)</f>
        <v>25.166599999999999</v>
      </c>
      <c r="E95" s="4">
        <f>110.878922234537 * CHOOSE(CONTROL!$C$10, $C$13, 100%, $E$13) + CHOOSE(CONTROL!$C$29, 0.0021, 0)</f>
        <v>110.881022234537</v>
      </c>
    </row>
    <row r="96" spans="1:5" ht="15">
      <c r="A96" s="13">
        <v>44044</v>
      </c>
      <c r="B96" s="4">
        <f>17.8437 * CHOOSE(CONTROL!$C$10, $C$13, 100%, $E$13) + CHOOSE(CONTROL!$C$29, 0.0272, 0)</f>
        <v>17.870899999999999</v>
      </c>
      <c r="C96" s="4">
        <f>17.4804 * CHOOSE(CONTROL!$C$10, $C$13, 100%, $E$13) + CHOOSE(CONTROL!$C$29, 0.0272, 0)</f>
        <v>17.5076</v>
      </c>
      <c r="D96" s="4">
        <f>24.9146 * CHOOSE(CONTROL!$C$10, $C$13, 100%, $E$13) + CHOOSE(CONTROL!$C$29, 0.0021, 0)</f>
        <v>24.916699999999999</v>
      </c>
      <c r="E96" s="4">
        <f>113.533595762424 * CHOOSE(CONTROL!$C$10, $C$13, 100%, $E$13) + CHOOSE(CONTROL!$C$29, 0.0021, 0)</f>
        <v>113.535695762424</v>
      </c>
    </row>
    <row r="97" spans="1:5" ht="15">
      <c r="A97" s="13">
        <v>44075</v>
      </c>
      <c r="B97" s="4">
        <f>17.1634 * CHOOSE(CONTROL!$C$10, $C$13, 100%, $E$13) + CHOOSE(CONTROL!$C$29, 0.0272, 0)</f>
        <v>17.1906</v>
      </c>
      <c r="C97" s="4">
        <f>16.8002 * CHOOSE(CONTROL!$C$10, $C$13, 100%, $E$13) + CHOOSE(CONTROL!$C$29, 0.0272, 0)</f>
        <v>16.827400000000001</v>
      </c>
      <c r="D97" s="4">
        <f>24.7965 * CHOOSE(CONTROL!$C$10, $C$13, 100%, $E$13) + CHOOSE(CONTROL!$C$29, 0.0021, 0)</f>
        <v>24.7986</v>
      </c>
      <c r="E97" s="4">
        <f>109.00918539762 * CHOOSE(CONTROL!$C$10, $C$13, 100%, $E$13) + CHOOSE(CONTROL!$C$29, 0.0021, 0)</f>
        <v>109.01128539762</v>
      </c>
    </row>
    <row r="98" spans="1:5" ht="15">
      <c r="A98" s="13">
        <v>44105</v>
      </c>
      <c r="B98" s="4">
        <f>16.6189 * CHOOSE(CONTROL!$C$10, $C$13, 100%, $E$13) + CHOOSE(CONTROL!$C$29, 0.0272, 0)</f>
        <v>16.646100000000001</v>
      </c>
      <c r="C98" s="4">
        <f>16.2556 * CHOOSE(CONTROL!$C$10, $C$13, 100%, $E$13) + CHOOSE(CONTROL!$C$29, 0.0272, 0)</f>
        <v>16.282800000000002</v>
      </c>
      <c r="D98" s="4">
        <f>24.4803 * CHOOSE(CONTROL!$C$10, $C$13, 100%, $E$13) + CHOOSE(CONTROL!$C$29, 0.0021, 0)</f>
        <v>24.482399999999998</v>
      </c>
      <c r="E98" s="4">
        <f>105.387305235541 * CHOOSE(CONTROL!$C$10, $C$13, 100%, $E$13) + CHOOSE(CONTROL!$C$29, 0.0021, 0)</f>
        <v>105.38940523554101</v>
      </c>
    </row>
    <row r="99" spans="1:5" ht="15">
      <c r="A99" s="13">
        <v>44136</v>
      </c>
      <c r="B99" s="4">
        <f>16.2681 * CHOOSE(CONTROL!$C$10, $C$13, 100%, $E$13) + CHOOSE(CONTROL!$C$29, 0.0272, 0)</f>
        <v>16.295300000000001</v>
      </c>
      <c r="C99" s="4">
        <f>15.9048 * CHOOSE(CONTROL!$C$10, $C$13, 100%, $E$13) + CHOOSE(CONTROL!$C$29, 0.0272, 0)</f>
        <v>15.932</v>
      </c>
      <c r="D99" s="4">
        <f>24.3716 * CHOOSE(CONTROL!$C$10, $C$13, 100%, $E$13) + CHOOSE(CONTROL!$C$29, 0.0021, 0)</f>
        <v>24.373699999999999</v>
      </c>
      <c r="E99" s="4">
        <f>103.054543946086 * CHOOSE(CONTROL!$C$10, $C$13, 100%, $E$13) + CHOOSE(CONTROL!$C$29, 0.0021, 0)</f>
        <v>103.056643946086</v>
      </c>
    </row>
    <row r="100" spans="1:5" ht="15">
      <c r="A100" s="13">
        <v>44166</v>
      </c>
      <c r="B100" s="4">
        <f>16.0255 * CHOOSE(CONTROL!$C$10, $C$13, 100%, $E$13) + CHOOSE(CONTROL!$C$29, 0.0272, 0)</f>
        <v>16.052700000000002</v>
      </c>
      <c r="C100" s="4">
        <f>15.6622 * CHOOSE(CONTROL!$C$10, $C$13, 100%, $E$13) + CHOOSE(CONTROL!$C$29, 0.0272, 0)</f>
        <v>15.689400000000001</v>
      </c>
      <c r="D100" s="4">
        <f>23.5714 * CHOOSE(CONTROL!$C$10, $C$13, 100%, $E$13) + CHOOSE(CONTROL!$C$29, 0.0021, 0)</f>
        <v>23.573499999999999</v>
      </c>
      <c r="E100" s="4">
        <f>101.440572997237 * CHOOSE(CONTROL!$C$10, $C$13, 100%, $E$13) + CHOOSE(CONTROL!$C$29, 0.0021, 0)</f>
        <v>101.442672997237</v>
      </c>
    </row>
    <row r="101" spans="1:5" ht="15">
      <c r="A101" s="13">
        <v>44197</v>
      </c>
      <c r="B101" s="4">
        <f>16.3521 * CHOOSE(CONTROL!$C$10, $C$13, 100%, $E$13) + CHOOSE(CONTROL!$C$29, 0.0272, 0)</f>
        <v>16.379300000000001</v>
      </c>
      <c r="C101" s="4">
        <f>15.9888 * CHOOSE(CONTROL!$C$10, $C$13, 100%, $E$13) + CHOOSE(CONTROL!$C$29, 0.0272, 0)</f>
        <v>16.015999999999998</v>
      </c>
      <c r="D101" s="4">
        <f>23.7628 * CHOOSE(CONTROL!$C$10, $C$13, 100%, $E$13) + CHOOSE(CONTROL!$C$29, 0.0021, 0)</f>
        <v>23.764899999999997</v>
      </c>
      <c r="E101" s="4">
        <f>102.572554975708 * CHOOSE(CONTROL!$C$10, $C$13, 100%, $E$13) + CHOOSE(CONTROL!$C$29, 0.0021, 0)</f>
        <v>102.574654975708</v>
      </c>
    </row>
    <row r="102" spans="1:5" ht="15">
      <c r="A102" s="13">
        <v>44228</v>
      </c>
      <c r="B102" s="4">
        <f>16.722 * CHOOSE(CONTROL!$C$10, $C$13, 100%, $E$13) + CHOOSE(CONTROL!$C$29, 0.0272, 0)</f>
        <v>16.749200000000002</v>
      </c>
      <c r="C102" s="4">
        <f>16.3587 * CHOOSE(CONTROL!$C$10, $C$13, 100%, $E$13) + CHOOSE(CONTROL!$C$29, 0.0272, 0)</f>
        <v>16.385899999999999</v>
      </c>
      <c r="D102" s="4">
        <f>24.5361 * CHOOSE(CONTROL!$C$10, $C$13, 100%, $E$13) + CHOOSE(CONTROL!$C$29, 0.0021, 0)</f>
        <v>24.5382</v>
      </c>
      <c r="E102" s="4">
        <f>105.008031659982 * CHOOSE(CONTROL!$C$10, $C$13, 100%, $E$13) + CHOOSE(CONTROL!$C$29, 0.0021, 0)</f>
        <v>105.01013165998199</v>
      </c>
    </row>
    <row r="103" spans="1:5" ht="15">
      <c r="A103" s="13">
        <v>44256</v>
      </c>
      <c r="B103" s="4">
        <f>17.6933 * CHOOSE(CONTROL!$C$10, $C$13, 100%, $E$13) + CHOOSE(CONTROL!$C$29, 0.0272, 0)</f>
        <v>17.720500000000001</v>
      </c>
      <c r="C103" s="4">
        <f>17.3301 * CHOOSE(CONTROL!$C$10, $C$13, 100%, $E$13) + CHOOSE(CONTROL!$C$29, 0.0272, 0)</f>
        <v>17.357300000000002</v>
      </c>
      <c r="D103" s="4">
        <f>25.7467 * CHOOSE(CONTROL!$C$10, $C$13, 100%, $E$13) + CHOOSE(CONTROL!$C$29, 0.0021, 0)</f>
        <v>25.748799999999999</v>
      </c>
      <c r="E103" s="4">
        <f>111.403722861976 * CHOOSE(CONTROL!$C$10, $C$13, 100%, $E$13) + CHOOSE(CONTROL!$C$29, 0.0021, 0)</f>
        <v>111.40582286197599</v>
      </c>
    </row>
    <row r="104" spans="1:5" ht="15">
      <c r="A104" s="13">
        <v>44287</v>
      </c>
      <c r="B104" s="4">
        <f>18.3835 * CHOOSE(CONTROL!$C$10, $C$13, 100%, $E$13) + CHOOSE(CONTROL!$C$29, 0.0272, 0)</f>
        <v>18.410700000000002</v>
      </c>
      <c r="C104" s="4">
        <f>18.0202 * CHOOSE(CONTROL!$C$10, $C$13, 100%, $E$13) + CHOOSE(CONTROL!$C$29, 0.0272, 0)</f>
        <v>18.0474</v>
      </c>
      <c r="D104" s="4">
        <f>26.444 * CHOOSE(CONTROL!$C$10, $C$13, 100%, $E$13) + CHOOSE(CONTROL!$C$29, 0.0021, 0)</f>
        <v>26.446099999999998</v>
      </c>
      <c r="E104" s="4">
        <f>115.947946694784 * CHOOSE(CONTROL!$C$10, $C$13, 100%, $E$13) + CHOOSE(CONTROL!$C$29, 0.0021, 0)</f>
        <v>115.95004669478399</v>
      </c>
    </row>
    <row r="105" spans="1:5" ht="15">
      <c r="A105" s="13">
        <v>44317</v>
      </c>
      <c r="B105" s="4">
        <f>18.8052 * CHOOSE(CONTROL!$C$10, $C$13, 100%, $E$13) + CHOOSE(CONTROL!$C$29, 0.0272, 0)</f>
        <v>18.8324</v>
      </c>
      <c r="C105" s="4">
        <f>18.4419 * CHOOSE(CONTROL!$C$10, $C$13, 100%, $E$13) + CHOOSE(CONTROL!$C$29, 0.0272, 0)</f>
        <v>18.469100000000001</v>
      </c>
      <c r="D105" s="4">
        <f>26.1684 * CHOOSE(CONTROL!$C$10, $C$13, 100%, $E$13) + CHOOSE(CONTROL!$C$29, 0.0021, 0)</f>
        <v>26.170499999999997</v>
      </c>
      <c r="E105" s="4">
        <f>118.724358546785 * CHOOSE(CONTROL!$C$10, $C$13, 100%, $E$13) + CHOOSE(CONTROL!$C$29, 0.0021, 0)</f>
        <v>118.726458546785</v>
      </c>
    </row>
    <row r="106" spans="1:5" ht="15">
      <c r="A106" s="13">
        <v>44348</v>
      </c>
      <c r="B106" s="4">
        <f>18.8622 * CHOOSE(CONTROL!$C$10, $C$13, 100%, $E$13) + CHOOSE(CONTROL!$C$29, 0.0272, 0)</f>
        <v>18.889400000000002</v>
      </c>
      <c r="C106" s="4">
        <f>18.499 * CHOOSE(CONTROL!$C$10, $C$13, 100%, $E$13) + CHOOSE(CONTROL!$C$29, 0.0272, 0)</f>
        <v>18.526199999999999</v>
      </c>
      <c r="D106" s="4">
        <f>26.3929 * CHOOSE(CONTROL!$C$10, $C$13, 100%, $E$13) + CHOOSE(CONTROL!$C$29, 0.0021, 0)</f>
        <v>26.395</v>
      </c>
      <c r="E106" s="4">
        <f>119.100018592707 * CHOOSE(CONTROL!$C$10, $C$13, 100%, $E$13) + CHOOSE(CONTROL!$C$29, 0.0021, 0)</f>
        <v>119.102118592707</v>
      </c>
    </row>
    <row r="107" spans="1:5" ht="15">
      <c r="A107" s="13">
        <v>44378</v>
      </c>
      <c r="B107" s="4">
        <f>18.8565 * CHOOSE(CONTROL!$C$10, $C$13, 100%, $E$13) + CHOOSE(CONTROL!$C$29, 0.0272, 0)</f>
        <v>18.883700000000001</v>
      </c>
      <c r="C107" s="4">
        <f>18.4932 * CHOOSE(CONTROL!$C$10, $C$13, 100%, $E$13) + CHOOSE(CONTROL!$C$29, 0.0272, 0)</f>
        <v>18.520400000000002</v>
      </c>
      <c r="D107" s="4">
        <f>26.7978 * CHOOSE(CONTROL!$C$10, $C$13, 100%, $E$13) + CHOOSE(CONTROL!$C$29, 0.0021, 0)</f>
        <v>26.799899999999997</v>
      </c>
      <c r="E107" s="4">
        <f>119.062136907404 * CHOOSE(CONTROL!$C$10, $C$13, 100%, $E$13) + CHOOSE(CONTROL!$C$29, 0.0021, 0)</f>
        <v>119.06423690740399</v>
      </c>
    </row>
    <row r="108" spans="1:5" ht="15">
      <c r="A108" s="13">
        <v>44409</v>
      </c>
      <c r="B108" s="4">
        <f>19.2894 * CHOOSE(CONTROL!$C$10, $C$13, 100%, $E$13) + CHOOSE(CONTROL!$C$29, 0.0272, 0)</f>
        <v>19.316600000000001</v>
      </c>
      <c r="C108" s="4">
        <f>18.9262 * CHOOSE(CONTROL!$C$10, $C$13, 100%, $E$13) + CHOOSE(CONTROL!$C$29, 0.0272, 0)</f>
        <v>18.953400000000002</v>
      </c>
      <c r="D108" s="4">
        <f>26.5304 * CHOOSE(CONTROL!$C$10, $C$13, 100%, $E$13) + CHOOSE(CONTROL!$C$29, 0.0021, 0)</f>
        <v>26.532499999999999</v>
      </c>
      <c r="E108" s="4">
        <f>121.912733726456 * CHOOSE(CONTROL!$C$10, $C$13, 100%, $E$13) + CHOOSE(CONTROL!$C$29, 0.0021, 0)</f>
        <v>121.914833726456</v>
      </c>
    </row>
    <row r="109" spans="1:5" ht="15">
      <c r="A109" s="13">
        <v>44440</v>
      </c>
      <c r="B109" s="4">
        <f>18.5516 * CHOOSE(CONTROL!$C$10, $C$13, 100%, $E$13) + CHOOSE(CONTROL!$C$29, 0.0272, 0)</f>
        <v>18.578800000000001</v>
      </c>
      <c r="C109" s="4">
        <f>18.1883 * CHOOSE(CONTROL!$C$10, $C$13, 100%, $E$13) + CHOOSE(CONTROL!$C$29, 0.0272, 0)</f>
        <v>18.215500000000002</v>
      </c>
      <c r="D109" s="4">
        <f>26.404 * CHOOSE(CONTROL!$C$10, $C$13, 100%, $E$13) + CHOOSE(CONTROL!$C$29, 0.0021, 0)</f>
        <v>26.406099999999999</v>
      </c>
      <c r="E109" s="4">
        <f>117.054407586343 * CHOOSE(CONTROL!$C$10, $C$13, 100%, $E$13) + CHOOSE(CONTROL!$C$29, 0.0021, 0)</f>
        <v>117.056507586343</v>
      </c>
    </row>
    <row r="110" spans="1:5" ht="15">
      <c r="A110" s="13">
        <v>44470</v>
      </c>
      <c r="B110" s="4">
        <f>17.9609 * CHOOSE(CONTROL!$C$10, $C$13, 100%, $E$13) + CHOOSE(CONTROL!$C$29, 0.0272, 0)</f>
        <v>17.988099999999999</v>
      </c>
      <c r="C110" s="4">
        <f>17.5976 * CHOOSE(CONTROL!$C$10, $C$13, 100%, $E$13) + CHOOSE(CONTROL!$C$29, 0.0272, 0)</f>
        <v>17.6248</v>
      </c>
      <c r="D110" s="4">
        <f>26.0657 * CHOOSE(CONTROL!$C$10, $C$13, 100%, $E$13) + CHOOSE(CONTROL!$C$29, 0.0021, 0)</f>
        <v>26.067799999999998</v>
      </c>
      <c r="E110" s="4">
        <f>113.165221228566 * CHOOSE(CONTROL!$C$10, $C$13, 100%, $E$13) + CHOOSE(CONTROL!$C$29, 0.0021, 0)</f>
        <v>113.167321228566</v>
      </c>
    </row>
    <row r="111" spans="1:5" ht="15">
      <c r="A111" s="13">
        <v>44501</v>
      </c>
      <c r="B111" s="4">
        <f>17.5804 * CHOOSE(CONTROL!$C$10, $C$13, 100%, $E$13) + CHOOSE(CONTROL!$C$29, 0.0272, 0)</f>
        <v>17.607600000000001</v>
      </c>
      <c r="C111" s="4">
        <f>17.2171 * CHOOSE(CONTROL!$C$10, $C$13, 100%, $E$13) + CHOOSE(CONTROL!$C$29, 0.0272, 0)</f>
        <v>17.244299999999999</v>
      </c>
      <c r="D111" s="4">
        <f>25.9494 * CHOOSE(CONTROL!$C$10, $C$13, 100%, $E$13) + CHOOSE(CONTROL!$C$29, 0.0021, 0)</f>
        <v>25.951499999999999</v>
      </c>
      <c r="E111" s="4">
        <f>110.660294787904 * CHOOSE(CONTROL!$C$10, $C$13, 100%, $E$13) + CHOOSE(CONTROL!$C$29, 0.0021, 0)</f>
        <v>110.66239478790399</v>
      </c>
    </row>
    <row r="112" spans="1:5" ht="15">
      <c r="A112" s="13">
        <v>44531</v>
      </c>
      <c r="B112" s="4">
        <f>17.3172 * CHOOSE(CONTROL!$C$10, $C$13, 100%, $E$13) + CHOOSE(CONTROL!$C$29, 0.0272, 0)</f>
        <v>17.3444</v>
      </c>
      <c r="C112" s="4">
        <f>16.9539 * CHOOSE(CONTROL!$C$10, $C$13, 100%, $E$13) + CHOOSE(CONTROL!$C$29, 0.0272, 0)</f>
        <v>16.981100000000001</v>
      </c>
      <c r="D112" s="4">
        <f>25.0931 * CHOOSE(CONTROL!$C$10, $C$13, 100%, $E$13) + CHOOSE(CONTROL!$C$29, 0.0021, 0)</f>
        <v>25.095199999999998</v>
      </c>
      <c r="E112" s="4">
        <f>108.927207685291 * CHOOSE(CONTROL!$C$10, $C$13, 100%, $E$13) + CHOOSE(CONTROL!$C$29, 0.0021, 0)</f>
        <v>108.92930768529099</v>
      </c>
    </row>
    <row r="113" spans="1:5" ht="15">
      <c r="A113" s="13">
        <v>44562</v>
      </c>
      <c r="B113" s="4">
        <f>16.6154 * CHOOSE(CONTROL!$C$10, $C$13, 100%, $E$13) + CHOOSE(CONTROL!$C$29, 0.0272, 0)</f>
        <v>16.642600000000002</v>
      </c>
      <c r="C113" s="4">
        <f>16.2522 * CHOOSE(CONTROL!$C$10, $C$13, 100%, $E$13) + CHOOSE(CONTROL!$C$29, 0.0272, 0)</f>
        <v>16.279399999999999</v>
      </c>
      <c r="D113" s="4">
        <f>24.5222 * CHOOSE(CONTROL!$C$10, $C$13, 100%, $E$13) + CHOOSE(CONTROL!$C$29, 0.0021, 0)</f>
        <v>24.5243</v>
      </c>
      <c r="E113" s="4">
        <f>105.192806047587 * CHOOSE(CONTROL!$C$10, $C$13, 100%, $E$13) + CHOOSE(CONTROL!$C$29, 0.0021, 0)</f>
        <v>105.194906047587</v>
      </c>
    </row>
    <row r="114" spans="1:5" ht="15">
      <c r="A114" s="13">
        <v>44593</v>
      </c>
      <c r="B114" s="4">
        <f>16.9916 * CHOOSE(CONTROL!$C$10, $C$13, 100%, $E$13) + CHOOSE(CONTROL!$C$29, 0.0272, 0)</f>
        <v>17.018799999999999</v>
      </c>
      <c r="C114" s="4">
        <f>16.6283 * CHOOSE(CONTROL!$C$10, $C$13, 100%, $E$13) + CHOOSE(CONTROL!$C$29, 0.0272, 0)</f>
        <v>16.6555</v>
      </c>
      <c r="D114" s="4">
        <f>25.3223 * CHOOSE(CONTROL!$C$10, $C$13, 100%, $E$13) + CHOOSE(CONTROL!$C$29, 0.0021, 0)</f>
        <v>25.324399999999997</v>
      </c>
      <c r="E114" s="4">
        <f>107.690497818479 * CHOOSE(CONTROL!$C$10, $C$13, 100%, $E$13) + CHOOSE(CONTROL!$C$29, 0.0021, 0)</f>
        <v>107.692597818479</v>
      </c>
    </row>
    <row r="115" spans="1:5" ht="15">
      <c r="A115" s="13">
        <v>44621</v>
      </c>
      <c r="B115" s="4">
        <f>17.9794 * CHOOSE(CONTROL!$C$10, $C$13, 100%, $E$13) + CHOOSE(CONTROL!$C$29, 0.0272, 0)</f>
        <v>18.006599999999999</v>
      </c>
      <c r="C115" s="4">
        <f>17.6161 * CHOOSE(CONTROL!$C$10, $C$13, 100%, $E$13) + CHOOSE(CONTROL!$C$29, 0.0272, 0)</f>
        <v>17.6433</v>
      </c>
      <c r="D115" s="4">
        <f>26.5749 * CHOOSE(CONTROL!$C$10, $C$13, 100%, $E$13) + CHOOSE(CONTROL!$C$29, 0.0021, 0)</f>
        <v>26.576999999999998</v>
      </c>
      <c r="E115" s="4">
        <f>114.249569144244 * CHOOSE(CONTROL!$C$10, $C$13, 100%, $E$13) + CHOOSE(CONTROL!$C$29, 0.0021, 0)</f>
        <v>114.251669144244</v>
      </c>
    </row>
    <row r="116" spans="1:5" ht="15">
      <c r="A116" s="13">
        <v>44652</v>
      </c>
      <c r="B116" s="4">
        <f>18.6812 * CHOOSE(CONTROL!$C$10, $C$13, 100%, $E$13) + CHOOSE(CONTROL!$C$29, 0.0272, 0)</f>
        <v>18.708400000000001</v>
      </c>
      <c r="C116" s="4">
        <f>18.318 * CHOOSE(CONTROL!$C$10, $C$13, 100%, $E$13) + CHOOSE(CONTROL!$C$29, 0.0272, 0)</f>
        <v>18.345200000000002</v>
      </c>
      <c r="D116" s="4">
        <f>27.2964 * CHOOSE(CONTROL!$C$10, $C$13, 100%, $E$13) + CHOOSE(CONTROL!$C$29, 0.0021, 0)</f>
        <v>27.298499999999997</v>
      </c>
      <c r="E116" s="4">
        <f>118.909876732318 * CHOOSE(CONTROL!$C$10, $C$13, 100%, $E$13) + CHOOSE(CONTROL!$C$29, 0.0021, 0)</f>
        <v>118.911976732318</v>
      </c>
    </row>
    <row r="117" spans="1:5" ht="15">
      <c r="A117" s="13">
        <v>44682</v>
      </c>
      <c r="B117" s="4">
        <f>19.11 * CHOOSE(CONTROL!$C$10, $C$13, 100%, $E$13) + CHOOSE(CONTROL!$C$29, 0.0272, 0)</f>
        <v>19.1372</v>
      </c>
      <c r="C117" s="4">
        <f>18.7468 * CHOOSE(CONTROL!$C$10, $C$13, 100%, $E$13) + CHOOSE(CONTROL!$C$29, 0.0272, 0)</f>
        <v>18.774000000000001</v>
      </c>
      <c r="D117" s="4">
        <f>27.0113 * CHOOSE(CONTROL!$C$10, $C$13, 100%, $E$13) + CHOOSE(CONTROL!$C$29, 0.0021, 0)</f>
        <v>27.013399999999997</v>
      </c>
      <c r="E117" s="4">
        <f>121.757212976647 * CHOOSE(CONTROL!$C$10, $C$13, 100%, $E$13) + CHOOSE(CONTROL!$C$29, 0.0021, 0)</f>
        <v>121.759312976647</v>
      </c>
    </row>
    <row r="118" spans="1:5" ht="15">
      <c r="A118" s="13">
        <v>44713</v>
      </c>
      <c r="B118" s="4">
        <f>19.1681 * CHOOSE(CONTROL!$C$10, $C$13, 100%, $E$13) + CHOOSE(CONTROL!$C$29, 0.0272, 0)</f>
        <v>19.1953</v>
      </c>
      <c r="C118" s="4">
        <f>18.8048 * CHOOSE(CONTROL!$C$10, $C$13, 100%, $E$13) + CHOOSE(CONTROL!$C$29, 0.0272, 0)</f>
        <v>18.832000000000001</v>
      </c>
      <c r="D118" s="4">
        <f>27.2434 * CHOOSE(CONTROL!$C$10, $C$13, 100%, $E$13) + CHOOSE(CONTROL!$C$29, 0.0021, 0)</f>
        <v>27.2455</v>
      </c>
      <c r="E118" s="4">
        <f>122.142469387193 * CHOOSE(CONTROL!$C$10, $C$13, 100%, $E$13) + CHOOSE(CONTROL!$C$29, 0.0021, 0)</f>
        <v>122.144569387193</v>
      </c>
    </row>
    <row r="119" spans="1:5" ht="15">
      <c r="A119" s="13">
        <v>44743</v>
      </c>
      <c r="B119" s="4">
        <f>19.1622 * CHOOSE(CONTROL!$C$10, $C$13, 100%, $E$13) + CHOOSE(CONTROL!$C$29, 0.0272, 0)</f>
        <v>19.189399999999999</v>
      </c>
      <c r="C119" s="4">
        <f>18.7989 * CHOOSE(CONTROL!$C$10, $C$13, 100%, $E$13) + CHOOSE(CONTROL!$C$29, 0.0272, 0)</f>
        <v>18.8261</v>
      </c>
      <c r="D119" s="4">
        <f>27.6624 * CHOOSE(CONTROL!$C$10, $C$13, 100%, $E$13) + CHOOSE(CONTROL!$C$29, 0.0021, 0)</f>
        <v>27.6645</v>
      </c>
      <c r="E119" s="4">
        <f>122.103620001256 * CHOOSE(CONTROL!$C$10, $C$13, 100%, $E$13) + CHOOSE(CONTROL!$C$29, 0.0021, 0)</f>
        <v>122.105720001256</v>
      </c>
    </row>
    <row r="120" spans="1:5" ht="15">
      <c r="A120" s="13">
        <v>44774</v>
      </c>
      <c r="B120" s="4">
        <f>19.6025 * CHOOSE(CONTROL!$C$10, $C$13, 100%, $E$13) + CHOOSE(CONTROL!$C$29, 0.0272, 0)</f>
        <v>19.6297</v>
      </c>
      <c r="C120" s="4">
        <f>19.2392 * CHOOSE(CONTROL!$C$10, $C$13, 100%, $E$13) + CHOOSE(CONTROL!$C$29, 0.0272, 0)</f>
        <v>19.266400000000001</v>
      </c>
      <c r="D120" s="4">
        <f>27.3857 * CHOOSE(CONTROL!$C$10, $C$13, 100%, $E$13) + CHOOSE(CONTROL!$C$29, 0.0021, 0)</f>
        <v>27.387799999999999</v>
      </c>
      <c r="E120" s="4">
        <f>125.027036293045 * CHOOSE(CONTROL!$C$10, $C$13, 100%, $E$13) + CHOOSE(CONTROL!$C$29, 0.0021, 0)</f>
        <v>125.029136293045</v>
      </c>
    </row>
    <row r="121" spans="1:5" ht="15">
      <c r="A121" s="13">
        <v>44805</v>
      </c>
      <c r="B121" s="4">
        <f>18.8521 * CHOOSE(CONTROL!$C$10, $C$13, 100%, $E$13) + CHOOSE(CONTROL!$C$29, 0.0272, 0)</f>
        <v>18.879300000000001</v>
      </c>
      <c r="C121" s="4">
        <f>18.4888 * CHOOSE(CONTROL!$C$10, $C$13, 100%, $E$13) + CHOOSE(CONTROL!$C$29, 0.0272, 0)</f>
        <v>18.516000000000002</v>
      </c>
      <c r="D121" s="4">
        <f>27.255 * CHOOSE(CONTROL!$C$10, $C$13, 100%, $E$13) + CHOOSE(CONTROL!$C$29, 0.0021, 0)</f>
        <v>27.257099999999998</v>
      </c>
      <c r="E121" s="4">
        <f>120.044602546573 * CHOOSE(CONTROL!$C$10, $C$13, 100%, $E$13) + CHOOSE(CONTROL!$C$29, 0.0021, 0)</f>
        <v>120.046702546573</v>
      </c>
    </row>
    <row r="122" spans="1:5" ht="15">
      <c r="A122" s="13">
        <v>44835</v>
      </c>
      <c r="B122" s="4">
        <f>18.2515 * CHOOSE(CONTROL!$C$10, $C$13, 100%, $E$13) + CHOOSE(CONTROL!$C$29, 0.0272, 0)</f>
        <v>18.278700000000001</v>
      </c>
      <c r="C122" s="4">
        <f>17.8882 * CHOOSE(CONTROL!$C$10, $C$13, 100%, $E$13) + CHOOSE(CONTROL!$C$29, 0.0272, 0)</f>
        <v>17.915400000000002</v>
      </c>
      <c r="D122" s="4">
        <f>26.905 * CHOOSE(CONTROL!$C$10, $C$13, 100%, $E$13) + CHOOSE(CONTROL!$C$29, 0.0021, 0)</f>
        <v>26.9071</v>
      </c>
      <c r="E122" s="4">
        <f>116.056065590333 * CHOOSE(CONTROL!$C$10, $C$13, 100%, $E$13) + CHOOSE(CONTROL!$C$29, 0.0021, 0)</f>
        <v>116.058165590333</v>
      </c>
    </row>
    <row r="123" spans="1:5" ht="15">
      <c r="A123" s="13">
        <v>44866</v>
      </c>
      <c r="B123" s="4">
        <f>17.8646 * CHOOSE(CONTROL!$C$10, $C$13, 100%, $E$13) + CHOOSE(CONTROL!$C$29, 0.0272, 0)</f>
        <v>17.8918</v>
      </c>
      <c r="C123" s="4">
        <f>17.5013 * CHOOSE(CONTROL!$C$10, $C$13, 100%, $E$13) + CHOOSE(CONTROL!$C$29, 0.0272, 0)</f>
        <v>17.528500000000001</v>
      </c>
      <c r="D123" s="4">
        <f>26.7846 * CHOOSE(CONTROL!$C$10, $C$13, 100%, $E$13) + CHOOSE(CONTROL!$C$29, 0.0021, 0)</f>
        <v>26.7867</v>
      </c>
      <c r="E123" s="4">
        <f>113.487149945222 * CHOOSE(CONTROL!$C$10, $C$13, 100%, $E$13) + CHOOSE(CONTROL!$C$29, 0.0021, 0)</f>
        <v>113.489249945222</v>
      </c>
    </row>
    <row r="124" spans="1:5" ht="15">
      <c r="A124" s="13">
        <v>44896</v>
      </c>
      <c r="B124" s="4">
        <f>17.5969 * CHOOSE(CONTROL!$C$10, $C$13, 100%, $E$13) + CHOOSE(CONTROL!$C$29, 0.0272, 0)</f>
        <v>17.624100000000002</v>
      </c>
      <c r="C124" s="4">
        <f>17.2336 * CHOOSE(CONTROL!$C$10, $C$13, 100%, $E$13) + CHOOSE(CONTROL!$C$29, 0.0272, 0)</f>
        <v>17.2608</v>
      </c>
      <c r="D124" s="4">
        <f>25.8987 * CHOOSE(CONTROL!$C$10, $C$13, 100%, $E$13) + CHOOSE(CONTROL!$C$29, 0.0021, 0)</f>
        <v>25.9008</v>
      </c>
      <c r="E124" s="4">
        <f>111.709790538586 * CHOOSE(CONTROL!$C$10, $C$13, 100%, $E$13) + CHOOSE(CONTROL!$C$29, 0.0021, 0)</f>
        <v>111.711890538586</v>
      </c>
    </row>
    <row r="125" spans="1:5" ht="15">
      <c r="A125" s="13">
        <v>44927</v>
      </c>
      <c r="B125" s="4">
        <f>17.0937 * CHOOSE(CONTROL!$C$10, $C$13, 100%, $E$13) + CHOOSE(CONTROL!$C$29, 0.0272, 0)</f>
        <v>17.120899999999999</v>
      </c>
      <c r="C125" s="4">
        <f>16.7304 * CHOOSE(CONTROL!$C$10, $C$13, 100%, $E$13) + CHOOSE(CONTROL!$C$29, 0.0272, 0)</f>
        <v>16.7576</v>
      </c>
      <c r="D125" s="4">
        <f>25.2382 * CHOOSE(CONTROL!$C$10, $C$13, 100%, $E$13) + CHOOSE(CONTROL!$C$29, 0.0021, 0)</f>
        <v>25.240299999999998</v>
      </c>
      <c r="E125" s="4">
        <f>108.104538950925 * CHOOSE(CONTROL!$C$10, $C$13, 100%, $E$13) + CHOOSE(CONTROL!$C$29, 0.0021, 0)</f>
        <v>108.106638950925</v>
      </c>
    </row>
    <row r="126" spans="1:5" ht="15">
      <c r="A126" s="13">
        <v>44958</v>
      </c>
      <c r="B126" s="4">
        <f>17.4812 * CHOOSE(CONTROL!$C$10, $C$13, 100%, $E$13) + CHOOSE(CONTROL!$C$29, 0.0272, 0)</f>
        <v>17.508400000000002</v>
      </c>
      <c r="C126" s="4">
        <f>17.1179 * CHOOSE(CONTROL!$C$10, $C$13, 100%, $E$13) + CHOOSE(CONTROL!$C$29, 0.0272, 0)</f>
        <v>17.145099999999999</v>
      </c>
      <c r="D126" s="4">
        <f>26.0636 * CHOOSE(CONTROL!$C$10, $C$13, 100%, $E$13) + CHOOSE(CONTROL!$C$29, 0.0021, 0)</f>
        <v>26.0657</v>
      </c>
      <c r="E126" s="4">
        <f>110.671366735818 * CHOOSE(CONTROL!$C$10, $C$13, 100%, $E$13) + CHOOSE(CONTROL!$C$29, 0.0021, 0)</f>
        <v>110.673466735818</v>
      </c>
    </row>
    <row r="127" spans="1:5" ht="15">
      <c r="A127" s="13">
        <v>44986</v>
      </c>
      <c r="B127" s="4">
        <f>18.4988 * CHOOSE(CONTROL!$C$10, $C$13, 100%, $E$13) + CHOOSE(CONTROL!$C$29, 0.0272, 0)</f>
        <v>18.526</v>
      </c>
      <c r="C127" s="4">
        <f>18.1355 * CHOOSE(CONTROL!$C$10, $C$13, 100%, $E$13) + CHOOSE(CONTROL!$C$29, 0.0272, 0)</f>
        <v>18.162700000000001</v>
      </c>
      <c r="D127" s="4">
        <f>27.3557 * CHOOSE(CONTROL!$C$10, $C$13, 100%, $E$13) + CHOOSE(CONTROL!$C$29, 0.0021, 0)</f>
        <v>27.357799999999997</v>
      </c>
      <c r="E127" s="4">
        <f>117.41199290846 * CHOOSE(CONTROL!$C$10, $C$13, 100%, $E$13) + CHOOSE(CONTROL!$C$29, 0.0021, 0)</f>
        <v>117.41409290845999</v>
      </c>
    </row>
    <row r="128" spans="1:5" ht="15">
      <c r="A128" s="13">
        <v>45017</v>
      </c>
      <c r="B128" s="4">
        <f>19.2218 * CHOOSE(CONTROL!$C$10, $C$13, 100%, $E$13) + CHOOSE(CONTROL!$C$29, 0.0272, 0)</f>
        <v>19.249000000000002</v>
      </c>
      <c r="C128" s="4">
        <f>18.8586 * CHOOSE(CONTROL!$C$10, $C$13, 100%, $E$13) + CHOOSE(CONTROL!$C$29, 0.0272, 0)</f>
        <v>18.8858</v>
      </c>
      <c r="D128" s="4">
        <f>28.1 * CHOOSE(CONTROL!$C$10, $C$13, 100%, $E$13) + CHOOSE(CONTROL!$C$29, 0.0021, 0)</f>
        <v>28.1021</v>
      </c>
      <c r="E128" s="4">
        <f>122.201297634777 * CHOOSE(CONTROL!$C$10, $C$13, 100%, $E$13) + CHOOSE(CONTROL!$C$29, 0.0021, 0)</f>
        <v>122.20339763477701</v>
      </c>
    </row>
    <row r="129" spans="1:5" ht="15">
      <c r="A129" s="13">
        <v>45047</v>
      </c>
      <c r="B129" s="4">
        <f>19.6636 * CHOOSE(CONTROL!$C$10, $C$13, 100%, $E$13) + CHOOSE(CONTROL!$C$29, 0.0272, 0)</f>
        <v>19.690799999999999</v>
      </c>
      <c r="C129" s="4">
        <f>19.3003 * CHOOSE(CONTROL!$C$10, $C$13, 100%, $E$13) + CHOOSE(CONTROL!$C$29, 0.0272, 0)</f>
        <v>19.327500000000001</v>
      </c>
      <c r="D129" s="4">
        <f>27.8059 * CHOOSE(CONTROL!$C$10, $C$13, 100%, $E$13) + CHOOSE(CONTROL!$C$29, 0.0021, 0)</f>
        <v>27.808</v>
      </c>
      <c r="E129" s="4">
        <f>125.127448038943 * CHOOSE(CONTROL!$C$10, $C$13, 100%, $E$13) + CHOOSE(CONTROL!$C$29, 0.0021, 0)</f>
        <v>125.129548038943</v>
      </c>
    </row>
    <row r="130" spans="1:5" ht="15">
      <c r="A130" s="13">
        <v>45078</v>
      </c>
      <c r="B130" s="4">
        <f>19.7234 * CHOOSE(CONTROL!$C$10, $C$13, 100%, $E$13) + CHOOSE(CONTROL!$C$29, 0.0272, 0)</f>
        <v>19.750600000000002</v>
      </c>
      <c r="C130" s="4">
        <f>19.3601 * CHOOSE(CONTROL!$C$10, $C$13, 100%, $E$13) + CHOOSE(CONTROL!$C$29, 0.0272, 0)</f>
        <v>19.3873</v>
      </c>
      <c r="D130" s="4">
        <f>28.0454 * CHOOSE(CONTROL!$C$10, $C$13, 100%, $E$13) + CHOOSE(CONTROL!$C$29, 0.0021, 0)</f>
        <v>28.047499999999999</v>
      </c>
      <c r="E130" s="4">
        <f>125.5233683324 * CHOOSE(CONTROL!$C$10, $C$13, 100%, $E$13) + CHOOSE(CONTROL!$C$29, 0.0021, 0)</f>
        <v>125.5254683324</v>
      </c>
    </row>
    <row r="131" spans="1:5" ht="15">
      <c r="A131" s="13">
        <v>45108</v>
      </c>
      <c r="B131" s="4">
        <f>19.7173 * CHOOSE(CONTROL!$C$10, $C$13, 100%, $E$13) + CHOOSE(CONTROL!$C$29, 0.0272, 0)</f>
        <v>19.744500000000002</v>
      </c>
      <c r="C131" s="4">
        <f>19.3541 * CHOOSE(CONTROL!$C$10, $C$13, 100%, $E$13) + CHOOSE(CONTROL!$C$29, 0.0272, 0)</f>
        <v>19.3813</v>
      </c>
      <c r="D131" s="4">
        <f>28.4776 * CHOOSE(CONTROL!$C$10, $C$13, 100%, $E$13) + CHOOSE(CONTROL!$C$29, 0.0021, 0)</f>
        <v>28.479699999999998</v>
      </c>
      <c r="E131" s="4">
        <f>125.483443596925 * CHOOSE(CONTROL!$C$10, $C$13, 100%, $E$13) + CHOOSE(CONTROL!$C$29, 0.0021, 0)</f>
        <v>125.485543596925</v>
      </c>
    </row>
    <row r="132" spans="1:5" ht="15">
      <c r="A132" s="13">
        <v>45139</v>
      </c>
      <c r="B132" s="4">
        <f>20.1709 * CHOOSE(CONTROL!$C$10, $C$13, 100%, $E$13) + CHOOSE(CONTROL!$C$29, 0.0272, 0)</f>
        <v>20.1981</v>
      </c>
      <c r="C132" s="4">
        <f>19.8076 * CHOOSE(CONTROL!$C$10, $C$13, 100%, $E$13) + CHOOSE(CONTROL!$C$29, 0.0272, 0)</f>
        <v>19.834800000000001</v>
      </c>
      <c r="D132" s="4">
        <f>28.1922 * CHOOSE(CONTROL!$C$10, $C$13, 100%, $E$13) + CHOOSE(CONTROL!$C$29, 0.0021, 0)</f>
        <v>28.194299999999998</v>
      </c>
      <c r="E132" s="4">
        <f>128.487779941395 * CHOOSE(CONTROL!$C$10, $C$13, 100%, $E$13) + CHOOSE(CONTROL!$C$29, 0.0021, 0)</f>
        <v>128.489879941395</v>
      </c>
    </row>
    <row r="133" spans="1:5" ht="15">
      <c r="A133" s="13">
        <v>45170</v>
      </c>
      <c r="B133" s="4">
        <f>19.3979 * CHOOSE(CONTROL!$C$10, $C$13, 100%, $E$13) + CHOOSE(CONTROL!$C$29, 0.0272, 0)</f>
        <v>19.4251</v>
      </c>
      <c r="C133" s="4">
        <f>19.0346 * CHOOSE(CONTROL!$C$10, $C$13, 100%, $E$13) + CHOOSE(CONTROL!$C$29, 0.0272, 0)</f>
        <v>19.061800000000002</v>
      </c>
      <c r="D133" s="4">
        <f>28.0574 * CHOOSE(CONTROL!$C$10, $C$13, 100%, $E$13) + CHOOSE(CONTROL!$C$29, 0.0021, 0)</f>
        <v>28.0595</v>
      </c>
      <c r="E133" s="4">
        <f>123.367432616767 * CHOOSE(CONTROL!$C$10, $C$13, 100%, $E$13) + CHOOSE(CONTROL!$C$29, 0.0021, 0)</f>
        <v>123.369532616767</v>
      </c>
    </row>
    <row r="134" spans="1:5" ht="15">
      <c r="A134" s="13">
        <v>45200</v>
      </c>
      <c r="B134" s="4">
        <f>18.7791 * CHOOSE(CONTROL!$C$10, $C$13, 100%, $E$13) + CHOOSE(CONTROL!$C$29, 0.0272, 0)</f>
        <v>18.8063</v>
      </c>
      <c r="C134" s="4">
        <f>18.4158 * CHOOSE(CONTROL!$C$10, $C$13, 100%, $E$13) + CHOOSE(CONTROL!$C$29, 0.0272, 0)</f>
        <v>18.443000000000001</v>
      </c>
      <c r="D134" s="4">
        <f>27.6963 * CHOOSE(CONTROL!$C$10, $C$13, 100%, $E$13) + CHOOSE(CONTROL!$C$29, 0.0021, 0)</f>
        <v>27.698399999999999</v>
      </c>
      <c r="E134" s="4">
        <f>119.268493108033 * CHOOSE(CONTROL!$C$10, $C$13, 100%, $E$13) + CHOOSE(CONTROL!$C$29, 0.0021, 0)</f>
        <v>119.270593108033</v>
      </c>
    </row>
    <row r="135" spans="1:5" ht="15">
      <c r="A135" s="13">
        <v>45231</v>
      </c>
      <c r="B135" s="4">
        <f>18.3805 * CHOOSE(CONTROL!$C$10, $C$13, 100%, $E$13) + CHOOSE(CONTROL!$C$29, 0.0272, 0)</f>
        <v>18.407700000000002</v>
      </c>
      <c r="C135" s="4">
        <f>18.0172 * CHOOSE(CONTROL!$C$10, $C$13, 100%, $E$13) + CHOOSE(CONTROL!$C$29, 0.0272, 0)</f>
        <v>18.0444</v>
      </c>
      <c r="D135" s="4">
        <f>27.5721 * CHOOSE(CONTROL!$C$10, $C$13, 100%, $E$13) + CHOOSE(CONTROL!$C$29, 0.0021, 0)</f>
        <v>27.574199999999998</v>
      </c>
      <c r="E135" s="4">
        <f>116.62846997477 * CHOOSE(CONTROL!$C$10, $C$13, 100%, $E$13) + CHOOSE(CONTROL!$C$29, 0.0021, 0)</f>
        <v>116.63056997477</v>
      </c>
    </row>
    <row r="136" spans="1:5" ht="15">
      <c r="A136" s="13">
        <v>45261</v>
      </c>
      <c r="B136" s="4">
        <f>18.1048 * CHOOSE(CONTROL!$C$10, $C$13, 100%, $E$13) + CHOOSE(CONTROL!$C$29, 0.0272, 0)</f>
        <v>18.132000000000001</v>
      </c>
      <c r="C136" s="4">
        <f>17.7415 * CHOOSE(CONTROL!$C$10, $C$13, 100%, $E$13) + CHOOSE(CONTROL!$C$29, 0.0272, 0)</f>
        <v>17.768699999999999</v>
      </c>
      <c r="D136" s="4">
        <f>26.6582 * CHOOSE(CONTROL!$C$10, $C$13, 100%, $E$13) + CHOOSE(CONTROL!$C$29, 0.0021, 0)</f>
        <v>26.660299999999999</v>
      </c>
      <c r="E136" s="4">
        <f>114.801913326803 * CHOOSE(CONTROL!$C$10, $C$13, 100%, $E$13) + CHOOSE(CONTROL!$C$29, 0.0021, 0)</f>
        <v>114.804013326803</v>
      </c>
    </row>
    <row r="137" spans="1:5" ht="15">
      <c r="A137" s="13">
        <v>45292</v>
      </c>
      <c r="B137" s="4">
        <f>17.8387 * CHOOSE(CONTROL!$C$10, $C$13, 100%, $E$13) + CHOOSE(CONTROL!$C$29, 0.0272, 0)</f>
        <v>17.8659</v>
      </c>
      <c r="C137" s="4">
        <f>17.4754 * CHOOSE(CONTROL!$C$10, $C$13, 100%, $E$13) + CHOOSE(CONTROL!$C$29, 0.0272, 0)</f>
        <v>17.502600000000001</v>
      </c>
      <c r="D137" s="4">
        <f>26.1254 * CHOOSE(CONTROL!$C$10, $C$13, 100%, $E$13) + CHOOSE(CONTROL!$C$29, 0.0021, 0)</f>
        <v>26.127499999999998</v>
      </c>
      <c r="E137" s="4">
        <f>112.542847942857 * CHOOSE(CONTROL!$C$10, $C$13, 100%, $E$13) + CHOOSE(CONTROL!$C$29, 0.0021, 0)</f>
        <v>112.54494794285699</v>
      </c>
    </row>
    <row r="138" spans="1:5" ht="15">
      <c r="A138" s="13">
        <v>45323</v>
      </c>
      <c r="B138" s="4">
        <f>18.2439 * CHOOSE(CONTROL!$C$10, $C$13, 100%, $E$13) + CHOOSE(CONTROL!$C$29, 0.0272, 0)</f>
        <v>18.271100000000001</v>
      </c>
      <c r="C138" s="4">
        <f>17.8806 * CHOOSE(CONTROL!$C$10, $C$13, 100%, $E$13) + CHOOSE(CONTROL!$C$29, 0.0272, 0)</f>
        <v>17.907800000000002</v>
      </c>
      <c r="D138" s="4">
        <f>26.9821 * CHOOSE(CONTROL!$C$10, $C$13, 100%, $E$13) + CHOOSE(CONTROL!$C$29, 0.0021, 0)</f>
        <v>26.984199999999998</v>
      </c>
      <c r="E138" s="4">
        <f>115.215058674193 * CHOOSE(CONTROL!$C$10, $C$13, 100%, $E$13) + CHOOSE(CONTROL!$C$29, 0.0021, 0)</f>
        <v>115.217158674193</v>
      </c>
    </row>
    <row r="139" spans="1:5" ht="15">
      <c r="A139" s="13">
        <v>45352</v>
      </c>
      <c r="B139" s="4">
        <f>19.308 * CHOOSE(CONTROL!$C$10, $C$13, 100%, $E$13) + CHOOSE(CONTROL!$C$29, 0.0272, 0)</f>
        <v>19.3352</v>
      </c>
      <c r="C139" s="4">
        <f>18.9447 * CHOOSE(CONTROL!$C$10, $C$13, 100%, $E$13) + CHOOSE(CONTROL!$C$29, 0.0272, 0)</f>
        <v>18.971900000000002</v>
      </c>
      <c r="D139" s="4">
        <f>28.3232 * CHOOSE(CONTROL!$C$10, $C$13, 100%, $E$13) + CHOOSE(CONTROL!$C$29, 0.0021, 0)</f>
        <v>28.325299999999999</v>
      </c>
      <c r="E139" s="4">
        <f>122.232426064582 * CHOOSE(CONTROL!$C$10, $C$13, 100%, $E$13) + CHOOSE(CONTROL!$C$29, 0.0021, 0)</f>
        <v>122.234526064582</v>
      </c>
    </row>
    <row r="140" spans="1:5" ht="15">
      <c r="A140" s="13">
        <v>45383</v>
      </c>
      <c r="B140" s="4">
        <f>20.064 * CHOOSE(CONTROL!$C$10, $C$13, 100%, $E$13) + CHOOSE(CONTROL!$C$29, 0.0272, 0)</f>
        <v>20.091200000000001</v>
      </c>
      <c r="C140" s="4">
        <f>19.7007 * CHOOSE(CONTROL!$C$10, $C$13, 100%, $E$13) + CHOOSE(CONTROL!$C$29, 0.0272, 0)</f>
        <v>19.727900000000002</v>
      </c>
      <c r="D140" s="4">
        <f>29.0957 * CHOOSE(CONTROL!$C$10, $C$13, 100%, $E$13) + CHOOSE(CONTROL!$C$29, 0.0021, 0)</f>
        <v>29.097799999999999</v>
      </c>
      <c r="E140" s="4">
        <f>127.21835911417 * CHOOSE(CONTROL!$C$10, $C$13, 100%, $E$13) + CHOOSE(CONTROL!$C$29, 0.0021, 0)</f>
        <v>127.22045911417</v>
      </c>
    </row>
    <row r="141" spans="1:5" ht="15">
      <c r="A141" s="13">
        <v>45413</v>
      </c>
      <c r="B141" s="4">
        <f>20.5259 * CHOOSE(CONTROL!$C$10, $C$13, 100%, $E$13) + CHOOSE(CONTROL!$C$29, 0.0272, 0)</f>
        <v>20.553100000000001</v>
      </c>
      <c r="C141" s="4">
        <f>20.1627 * CHOOSE(CONTROL!$C$10, $C$13, 100%, $E$13) + CHOOSE(CONTROL!$C$29, 0.0272, 0)</f>
        <v>20.189900000000002</v>
      </c>
      <c r="D141" s="4">
        <f>28.7905 * CHOOSE(CONTROL!$C$10, $C$13, 100%, $E$13) + CHOOSE(CONTROL!$C$29, 0.0021, 0)</f>
        <v>28.7926</v>
      </c>
      <c r="E141" s="4">
        <f>130.264644711331 * CHOOSE(CONTROL!$C$10, $C$13, 100%, $E$13) + CHOOSE(CONTROL!$C$29, 0.0021, 0)</f>
        <v>130.266744711331</v>
      </c>
    </row>
    <row r="142" spans="1:5" ht="15">
      <c r="A142" s="13">
        <v>45444</v>
      </c>
      <c r="B142" s="4">
        <f>20.5884 * CHOOSE(CONTROL!$C$10, $C$13, 100%, $E$13) + CHOOSE(CONTROL!$C$29, 0.0272, 0)</f>
        <v>20.615600000000001</v>
      </c>
      <c r="C142" s="4">
        <f>20.2252 * CHOOSE(CONTROL!$C$10, $C$13, 100%, $E$13) + CHOOSE(CONTROL!$C$29, 0.0272, 0)</f>
        <v>20.252400000000002</v>
      </c>
      <c r="D142" s="4">
        <f>29.0391 * CHOOSE(CONTROL!$C$10, $C$13, 100%, $E$13) + CHOOSE(CONTROL!$C$29, 0.0021, 0)</f>
        <v>29.0412</v>
      </c>
      <c r="E142" s="4">
        <f>130.676819794972 * CHOOSE(CONTROL!$C$10, $C$13, 100%, $E$13) + CHOOSE(CONTROL!$C$29, 0.0021, 0)</f>
        <v>130.67891979497202</v>
      </c>
    </row>
    <row r="143" spans="1:5" ht="15">
      <c r="A143" s="13">
        <v>45474</v>
      </c>
      <c r="B143" s="4">
        <f>20.5821 * CHOOSE(CONTROL!$C$10, $C$13, 100%, $E$13) + CHOOSE(CONTROL!$C$29, 0.0272, 0)</f>
        <v>20.609300000000001</v>
      </c>
      <c r="C143" s="4">
        <f>20.2189 * CHOOSE(CONTROL!$C$10, $C$13, 100%, $E$13) + CHOOSE(CONTROL!$C$29, 0.0272, 0)</f>
        <v>20.246100000000002</v>
      </c>
      <c r="D143" s="4">
        <f>29.4877 * CHOOSE(CONTROL!$C$10, $C$13, 100%, $E$13) + CHOOSE(CONTROL!$C$29, 0.0021, 0)</f>
        <v>29.489799999999999</v>
      </c>
      <c r="E143" s="4">
        <f>130.635255920991 * CHOOSE(CONTROL!$C$10, $C$13, 100%, $E$13) + CHOOSE(CONTROL!$C$29, 0.0021, 0)</f>
        <v>130.63735592099101</v>
      </c>
    </row>
    <row r="144" spans="1:5" ht="15">
      <c r="A144" s="13">
        <v>45505</v>
      </c>
      <c r="B144" s="4">
        <f>21.0564 * CHOOSE(CONTROL!$C$10, $C$13, 100%, $E$13) + CHOOSE(CONTROL!$C$29, 0.0272, 0)</f>
        <v>21.083600000000001</v>
      </c>
      <c r="C144" s="4">
        <f>20.6931 * CHOOSE(CONTROL!$C$10, $C$13, 100%, $E$13) + CHOOSE(CONTROL!$C$29, 0.0272, 0)</f>
        <v>20.720300000000002</v>
      </c>
      <c r="D144" s="4">
        <f>29.1914 * CHOOSE(CONTROL!$C$10, $C$13, 100%, $E$13) + CHOOSE(CONTROL!$C$29, 0.0021, 0)</f>
        <v>29.1935</v>
      </c>
      <c r="E144" s="4">
        <f>133.762937438031 * CHOOSE(CONTROL!$C$10, $C$13, 100%, $E$13) + CHOOSE(CONTROL!$C$29, 0.0021, 0)</f>
        <v>133.76503743803102</v>
      </c>
    </row>
    <row r="145" spans="1:5" ht="15">
      <c r="A145" s="13">
        <v>45536</v>
      </c>
      <c r="B145" s="4">
        <f>20.2481 * CHOOSE(CONTROL!$C$10, $C$13, 100%, $E$13) + CHOOSE(CONTROL!$C$29, 0.0272, 0)</f>
        <v>20.275300000000001</v>
      </c>
      <c r="C145" s="4">
        <f>19.8848 * CHOOSE(CONTROL!$C$10, $C$13, 100%, $E$13) + CHOOSE(CONTROL!$C$29, 0.0272, 0)</f>
        <v>19.911999999999999</v>
      </c>
      <c r="D145" s="4">
        <f>29.0515 * CHOOSE(CONTROL!$C$10, $C$13, 100%, $E$13) + CHOOSE(CONTROL!$C$29, 0.0021, 0)</f>
        <v>29.053599999999999</v>
      </c>
      <c r="E145" s="4">
        <f>128.43237060002 * CHOOSE(CONTROL!$C$10, $C$13, 100%, $E$13) + CHOOSE(CONTROL!$C$29, 0.0021, 0)</f>
        <v>128.43447060002001</v>
      </c>
    </row>
    <row r="146" spans="1:5" ht="15">
      <c r="A146" s="13">
        <v>45566</v>
      </c>
      <c r="B146" s="4">
        <f>19.6011 * CHOOSE(CONTROL!$C$10, $C$13, 100%, $E$13) + CHOOSE(CONTROL!$C$29, 0.0272, 0)</f>
        <v>19.628299999999999</v>
      </c>
      <c r="C146" s="4">
        <f>19.2378 * CHOOSE(CONTROL!$C$10, $C$13, 100%, $E$13) + CHOOSE(CONTROL!$C$29, 0.0272, 0)</f>
        <v>19.265000000000001</v>
      </c>
      <c r="D146" s="4">
        <f>28.6767 * CHOOSE(CONTROL!$C$10, $C$13, 100%, $E$13) + CHOOSE(CONTROL!$C$29, 0.0021, 0)</f>
        <v>28.678799999999999</v>
      </c>
      <c r="E146" s="4">
        <f>124.16514620468 * CHOOSE(CONTROL!$C$10, $C$13, 100%, $E$13) + CHOOSE(CONTROL!$C$29, 0.0021, 0)</f>
        <v>124.16724620468</v>
      </c>
    </row>
    <row r="147" spans="1:5" ht="15">
      <c r="A147" s="13">
        <v>45597</v>
      </c>
      <c r="B147" s="4">
        <f>19.1843 * CHOOSE(CONTROL!$C$10, $C$13, 100%, $E$13) + CHOOSE(CONTROL!$C$29, 0.0272, 0)</f>
        <v>19.211500000000001</v>
      </c>
      <c r="C147" s="4">
        <f>18.821 * CHOOSE(CONTROL!$C$10, $C$13, 100%, $E$13) + CHOOSE(CONTROL!$C$29, 0.0272, 0)</f>
        <v>18.848200000000002</v>
      </c>
      <c r="D147" s="4">
        <f>28.5478 * CHOOSE(CONTROL!$C$10, $C$13, 100%, $E$13) + CHOOSE(CONTROL!$C$29, 0.0021, 0)</f>
        <v>28.549899999999997</v>
      </c>
      <c r="E147" s="4">
        <f>121.416735037713 * CHOOSE(CONTROL!$C$10, $C$13, 100%, $E$13) + CHOOSE(CONTROL!$C$29, 0.0021, 0)</f>
        <v>121.418835037713</v>
      </c>
    </row>
    <row r="148" spans="1:5" ht="15">
      <c r="A148" s="13">
        <v>45627</v>
      </c>
      <c r="B148" s="4">
        <f>18.896 * CHOOSE(CONTROL!$C$10, $C$13, 100%, $E$13) + CHOOSE(CONTROL!$C$29, 0.0272, 0)</f>
        <v>18.923200000000001</v>
      </c>
      <c r="C148" s="4">
        <f>18.5327 * CHOOSE(CONTROL!$C$10, $C$13, 100%, $E$13) + CHOOSE(CONTROL!$C$29, 0.0272, 0)</f>
        <v>18.559899999999999</v>
      </c>
      <c r="D148" s="4">
        <f>27.5992 * CHOOSE(CONTROL!$C$10, $C$13, 100%, $E$13) + CHOOSE(CONTROL!$C$29, 0.0021, 0)</f>
        <v>27.601299999999998</v>
      </c>
      <c r="E148" s="4">
        <f>119.515187803101 * CHOOSE(CONTROL!$C$10, $C$13, 100%, $E$13) + CHOOSE(CONTROL!$C$29, 0.0021, 0)</f>
        <v>119.517287803101</v>
      </c>
    </row>
    <row r="149" spans="1:5" ht="15">
      <c r="A149" s="13">
        <v>45658</v>
      </c>
      <c r="B149" s="4">
        <f>18.6987 * CHOOSE(CONTROL!$C$10, $C$13, 100%, $E$13) + CHOOSE(CONTROL!$C$29, 0.0272, 0)</f>
        <v>18.725899999999999</v>
      </c>
      <c r="C149" s="4">
        <f>18.3354 * CHOOSE(CONTROL!$C$10, $C$13, 100%, $E$13) + CHOOSE(CONTROL!$C$29, 0.0272, 0)</f>
        <v>18.3626</v>
      </c>
      <c r="D149" s="4">
        <f>27.0593 * CHOOSE(CONTROL!$C$10, $C$13, 100%, $E$13) + CHOOSE(CONTROL!$C$29, 0.0021, 0)</f>
        <v>27.061399999999999</v>
      </c>
      <c r="E149" s="4">
        <f>117.15984219144 * CHOOSE(CONTROL!$C$10, $C$13, 100%, $E$13) + CHOOSE(CONTROL!$C$29, 0.0021, 0)</f>
        <v>117.16194219144</v>
      </c>
    </row>
    <row r="150" spans="1:5" ht="15">
      <c r="A150" s="13">
        <v>45689</v>
      </c>
      <c r="B150" s="4">
        <f>19.1243 * CHOOSE(CONTROL!$C$10, $C$13, 100%, $E$13) + CHOOSE(CONTROL!$C$29, 0.0272, 0)</f>
        <v>19.151500000000002</v>
      </c>
      <c r="C150" s="4">
        <f>18.7611 * CHOOSE(CONTROL!$C$10, $C$13, 100%, $E$13) + CHOOSE(CONTROL!$C$29, 0.0272, 0)</f>
        <v>18.7883</v>
      </c>
      <c r="D150" s="4">
        <f>27.949 * CHOOSE(CONTROL!$C$10, $C$13, 100%, $E$13) + CHOOSE(CONTROL!$C$29, 0.0021, 0)</f>
        <v>27.9511</v>
      </c>
      <c r="E150" s="4">
        <f>119.941678561393 * CHOOSE(CONTROL!$C$10, $C$13, 100%, $E$13) + CHOOSE(CONTROL!$C$29, 0.0021, 0)</f>
        <v>119.943778561393</v>
      </c>
    </row>
    <row r="151" spans="1:5" ht="15">
      <c r="A151" s="13">
        <v>45717</v>
      </c>
      <c r="B151" s="4">
        <f>20.242 * CHOOSE(CONTROL!$C$10, $C$13, 100%, $E$13) + CHOOSE(CONTROL!$C$29, 0.0272, 0)</f>
        <v>20.269200000000001</v>
      </c>
      <c r="C151" s="4">
        <f>19.8787 * CHOOSE(CONTROL!$C$10, $C$13, 100%, $E$13) + CHOOSE(CONTROL!$C$29, 0.0272, 0)</f>
        <v>19.905899999999999</v>
      </c>
      <c r="D151" s="4">
        <f>29.3417 * CHOOSE(CONTROL!$C$10, $C$13, 100%, $E$13) + CHOOSE(CONTROL!$C$29, 0.0021, 0)</f>
        <v>29.343799999999998</v>
      </c>
      <c r="E151" s="4">
        <f>127.246928704652 * CHOOSE(CONTROL!$C$10, $C$13, 100%, $E$13) + CHOOSE(CONTROL!$C$29, 0.0021, 0)</f>
        <v>127.24902870465201</v>
      </c>
    </row>
    <row r="152" spans="1:5" ht="15">
      <c r="A152" s="13">
        <v>45748</v>
      </c>
      <c r="B152" s="4">
        <f>21.0362 * CHOOSE(CONTROL!$C$10, $C$13, 100%, $E$13) + CHOOSE(CONTROL!$C$29, 0.0272, 0)</f>
        <v>21.063400000000001</v>
      </c>
      <c r="C152" s="4">
        <f>20.6729 * CHOOSE(CONTROL!$C$10, $C$13, 100%, $E$13) + CHOOSE(CONTROL!$C$29, 0.0272, 0)</f>
        <v>20.700099999999999</v>
      </c>
      <c r="D152" s="4">
        <f>30.144 * CHOOSE(CONTROL!$C$10, $C$13, 100%, $E$13) + CHOOSE(CONTROL!$C$29, 0.0021, 0)</f>
        <v>30.146099999999997</v>
      </c>
      <c r="E152" s="4">
        <f>132.437406286697 * CHOOSE(CONTROL!$C$10, $C$13, 100%, $E$13) + CHOOSE(CONTROL!$C$29, 0.0021, 0)</f>
        <v>132.43950628669702</v>
      </c>
    </row>
    <row r="153" spans="1:5" ht="15">
      <c r="A153" s="13">
        <v>45778</v>
      </c>
      <c r="B153" s="4">
        <f>21.5214 * CHOOSE(CONTROL!$C$10, $C$13, 100%, $E$13) + CHOOSE(CONTROL!$C$29, 0.0272, 0)</f>
        <v>21.5486</v>
      </c>
      <c r="C153" s="4">
        <f>21.1581 * CHOOSE(CONTROL!$C$10, $C$13, 100%, $E$13) + CHOOSE(CONTROL!$C$29, 0.0272, 0)</f>
        <v>21.185300000000002</v>
      </c>
      <c r="D153" s="4">
        <f>29.827 * CHOOSE(CONTROL!$C$10, $C$13, 100%, $E$13) + CHOOSE(CONTROL!$C$29, 0.0021, 0)</f>
        <v>29.8291</v>
      </c>
      <c r="E153" s="4">
        <f>135.60866369094 * CHOOSE(CONTROL!$C$10, $C$13, 100%, $E$13) + CHOOSE(CONTROL!$C$29, 0.0021, 0)</f>
        <v>135.61076369094002</v>
      </c>
    </row>
    <row r="154" spans="1:5" ht="15">
      <c r="A154" s="13">
        <v>45809</v>
      </c>
      <c r="B154" s="4">
        <f>21.587 * CHOOSE(CONTROL!$C$10, $C$13, 100%, $E$13) + CHOOSE(CONTROL!$C$29, 0.0272, 0)</f>
        <v>21.6142</v>
      </c>
      <c r="C154" s="4">
        <f>21.2237 * CHOOSE(CONTROL!$C$10, $C$13, 100%, $E$13) + CHOOSE(CONTROL!$C$29, 0.0272, 0)</f>
        <v>21.250900000000001</v>
      </c>
      <c r="D154" s="4">
        <f>30.0852 * CHOOSE(CONTROL!$C$10, $C$13, 100%, $E$13) + CHOOSE(CONTROL!$C$29, 0.0021, 0)</f>
        <v>30.087299999999999</v>
      </c>
      <c r="E154" s="4">
        <f>136.037747978723 * CHOOSE(CONTROL!$C$10, $C$13, 100%, $E$13) + CHOOSE(CONTROL!$C$29, 0.0021, 0)</f>
        <v>136.039847978723</v>
      </c>
    </row>
    <row r="155" spans="1:5" ht="15">
      <c r="A155" s="13">
        <v>45839</v>
      </c>
      <c r="B155" s="4">
        <f>21.5804 * CHOOSE(CONTROL!$C$10, $C$13, 100%, $E$13) + CHOOSE(CONTROL!$C$29, 0.0272, 0)</f>
        <v>21.607600000000001</v>
      </c>
      <c r="C155" s="4">
        <f>21.2171 * CHOOSE(CONTROL!$C$10, $C$13, 100%, $E$13) + CHOOSE(CONTROL!$C$29, 0.0272, 0)</f>
        <v>21.244299999999999</v>
      </c>
      <c r="D155" s="4">
        <f>30.551 * CHOOSE(CONTROL!$C$10, $C$13, 100%, $E$13) + CHOOSE(CONTROL!$C$29, 0.0021, 0)</f>
        <v>30.553099999999997</v>
      </c>
      <c r="E155" s="4">
        <f>135.994478974913 * CHOOSE(CONTROL!$C$10, $C$13, 100%, $E$13) + CHOOSE(CONTROL!$C$29, 0.0021, 0)</f>
        <v>135.99657897491301</v>
      </c>
    </row>
    <row r="156" spans="1:5" ht="15">
      <c r="A156" s="13">
        <v>45870</v>
      </c>
      <c r="B156" s="4">
        <f>22.0786 * CHOOSE(CONTROL!$C$10, $C$13, 100%, $E$13) + CHOOSE(CONTROL!$C$29, 0.0272, 0)</f>
        <v>22.105800000000002</v>
      </c>
      <c r="C156" s="4">
        <f>21.7153 * CHOOSE(CONTROL!$C$10, $C$13, 100%, $E$13) + CHOOSE(CONTROL!$C$29, 0.0272, 0)</f>
        <v>21.7425</v>
      </c>
      <c r="D156" s="4">
        <f>30.2434 * CHOOSE(CONTROL!$C$10, $C$13, 100%, $E$13) + CHOOSE(CONTROL!$C$29, 0.0021, 0)</f>
        <v>30.2455</v>
      </c>
      <c r="E156" s="4">
        <f>139.250471511617 * CHOOSE(CONTROL!$C$10, $C$13, 100%, $E$13) + CHOOSE(CONTROL!$C$29, 0.0021, 0)</f>
        <v>139.25257151161702</v>
      </c>
    </row>
    <row r="157" spans="1:5" ht="15">
      <c r="A157" s="13">
        <v>45901</v>
      </c>
      <c r="B157" s="4">
        <f>21.2295 * CHOOSE(CONTROL!$C$10, $C$13, 100%, $E$13) + CHOOSE(CONTROL!$C$29, 0.0272, 0)</f>
        <v>21.256700000000002</v>
      </c>
      <c r="C157" s="4">
        <f>20.8662 * CHOOSE(CONTROL!$C$10, $C$13, 100%, $E$13) + CHOOSE(CONTROL!$C$29, 0.0272, 0)</f>
        <v>20.8934</v>
      </c>
      <c r="D157" s="4">
        <f>30.098 * CHOOSE(CONTROL!$C$10, $C$13, 100%, $E$13) + CHOOSE(CONTROL!$C$29, 0.0021, 0)</f>
        <v>30.100099999999998</v>
      </c>
      <c r="E157" s="4">
        <f>133.701221772981 * CHOOSE(CONTROL!$C$10, $C$13, 100%, $E$13) + CHOOSE(CONTROL!$C$29, 0.0021, 0)</f>
        <v>133.70332177298101</v>
      </c>
    </row>
    <row r="158" spans="1:5" ht="15">
      <c r="A158" s="13">
        <v>45931</v>
      </c>
      <c r="B158" s="4">
        <f>20.5499 * CHOOSE(CONTROL!$C$10, $C$13, 100%, $E$13) + CHOOSE(CONTROL!$C$29, 0.0272, 0)</f>
        <v>20.577100000000002</v>
      </c>
      <c r="C158" s="4">
        <f>20.1866 * CHOOSE(CONTROL!$C$10, $C$13, 100%, $E$13) + CHOOSE(CONTROL!$C$29, 0.0272, 0)</f>
        <v>20.213799999999999</v>
      </c>
      <c r="D158" s="4">
        <f>29.7088 * CHOOSE(CONTROL!$C$10, $C$13, 100%, $E$13) + CHOOSE(CONTROL!$C$29, 0.0021, 0)</f>
        <v>29.710899999999999</v>
      </c>
      <c r="E158" s="4">
        <f>129.258937381818 * CHOOSE(CONTROL!$C$10, $C$13, 100%, $E$13) + CHOOSE(CONTROL!$C$29, 0.0021, 0)</f>
        <v>129.261037381818</v>
      </c>
    </row>
    <row r="159" spans="1:5" ht="15">
      <c r="A159" s="13">
        <v>45962</v>
      </c>
      <c r="B159" s="4">
        <f>20.1121 * CHOOSE(CONTROL!$C$10, $C$13, 100%, $E$13) + CHOOSE(CONTROL!$C$29, 0.0272, 0)</f>
        <v>20.139300000000002</v>
      </c>
      <c r="C159" s="4">
        <f>19.7488 * CHOOSE(CONTROL!$C$10, $C$13, 100%, $E$13) + CHOOSE(CONTROL!$C$29, 0.0272, 0)</f>
        <v>19.776</v>
      </c>
      <c r="D159" s="4">
        <f>29.575 * CHOOSE(CONTROL!$C$10, $C$13, 100%, $E$13) + CHOOSE(CONTROL!$C$29, 0.0021, 0)</f>
        <v>29.577099999999998</v>
      </c>
      <c r="E159" s="4">
        <f>126.39777450488 * CHOOSE(CONTROL!$C$10, $C$13, 100%, $E$13) + CHOOSE(CONTROL!$C$29, 0.0021, 0)</f>
        <v>126.39987450488</v>
      </c>
    </row>
    <row r="160" spans="1:5" ht="15">
      <c r="A160" s="13">
        <v>45992</v>
      </c>
      <c r="B160" s="4">
        <f>19.8092 * CHOOSE(CONTROL!$C$10, $C$13, 100%, $E$13) + CHOOSE(CONTROL!$C$29, 0.0272, 0)</f>
        <v>19.836400000000001</v>
      </c>
      <c r="C160" s="4">
        <f>19.446 * CHOOSE(CONTROL!$C$10, $C$13, 100%, $E$13) + CHOOSE(CONTROL!$C$29, 0.0272, 0)</f>
        <v>19.473200000000002</v>
      </c>
      <c r="D160" s="4">
        <f>28.5899 * CHOOSE(CONTROL!$C$10, $C$13, 100%, $E$13) + CHOOSE(CONTROL!$C$29, 0.0021, 0)</f>
        <v>28.591999999999999</v>
      </c>
      <c r="E160" s="4">
        <f>124.418217580572 * CHOOSE(CONTROL!$C$10, $C$13, 100%, $E$13) + CHOOSE(CONTROL!$C$29, 0.0021, 0)</f>
        <v>124.420317580572</v>
      </c>
    </row>
    <row r="161" spans="1:5" ht="15">
      <c r="A161" s="13">
        <v>46023</v>
      </c>
      <c r="B161" s="4">
        <f>19.4341 * CHOOSE(CONTROL!$C$10, $C$13, 100%, $E$13) + CHOOSE(CONTROL!$C$29, 0.0272, 0)</f>
        <v>19.461300000000001</v>
      </c>
      <c r="C161" s="4">
        <f>19.0708 * CHOOSE(CONTROL!$C$10, $C$13, 100%, $E$13) + CHOOSE(CONTROL!$C$29, 0.0272, 0)</f>
        <v>19.097999999999999</v>
      </c>
      <c r="D161" s="4">
        <f>27.9786 * CHOOSE(CONTROL!$C$10, $C$13, 100%, $E$13) + CHOOSE(CONTROL!$C$29, 0.0021, 0)</f>
        <v>27.980699999999999</v>
      </c>
      <c r="E161" s="4">
        <f>121.96264293604 * CHOOSE(CONTROL!$C$10, $C$13, 100%, $E$13) + CHOOSE(CONTROL!$C$29, 0.0021, 0)</f>
        <v>121.96474293604</v>
      </c>
    </row>
    <row r="162" spans="1:5" ht="15">
      <c r="A162" s="13">
        <v>46054</v>
      </c>
      <c r="B162" s="4">
        <f>19.8771 * CHOOSE(CONTROL!$C$10, $C$13, 100%, $E$13) + CHOOSE(CONTROL!$C$29, 0.0272, 0)</f>
        <v>19.904299999999999</v>
      </c>
      <c r="C162" s="4">
        <f>19.5139 * CHOOSE(CONTROL!$C$10, $C$13, 100%, $E$13) + CHOOSE(CONTROL!$C$29, 0.0272, 0)</f>
        <v>19.5411</v>
      </c>
      <c r="D162" s="4">
        <f>28.9007 * CHOOSE(CONTROL!$C$10, $C$13, 100%, $E$13) + CHOOSE(CONTROL!$C$29, 0.0021, 0)</f>
        <v>28.902799999999999</v>
      </c>
      <c r="E162" s="4">
        <f>124.858516723072 * CHOOSE(CONTROL!$C$10, $C$13, 100%, $E$13) + CHOOSE(CONTROL!$C$29, 0.0021, 0)</f>
        <v>124.860616723072</v>
      </c>
    </row>
    <row r="163" spans="1:5" ht="15">
      <c r="A163" s="13">
        <v>46082</v>
      </c>
      <c r="B163" s="4">
        <f>21.0407 * CHOOSE(CONTROL!$C$10, $C$13, 100%, $E$13) + CHOOSE(CONTROL!$C$29, 0.0272, 0)</f>
        <v>21.067900000000002</v>
      </c>
      <c r="C163" s="4">
        <f>20.6774 * CHOOSE(CONTROL!$C$10, $C$13, 100%, $E$13) + CHOOSE(CONTROL!$C$29, 0.0272, 0)</f>
        <v>20.704599999999999</v>
      </c>
      <c r="D163" s="4">
        <f>30.3442 * CHOOSE(CONTROL!$C$10, $C$13, 100%, $E$13) + CHOOSE(CONTROL!$C$29, 0.0021, 0)</f>
        <v>30.346299999999999</v>
      </c>
      <c r="E163" s="4">
        <f>132.463235183899 * CHOOSE(CONTROL!$C$10, $C$13, 100%, $E$13) + CHOOSE(CONTROL!$C$29, 0.0021, 0)</f>
        <v>132.46533518389901</v>
      </c>
    </row>
    <row r="164" spans="1:5" ht="15">
      <c r="A164" s="13">
        <v>46113</v>
      </c>
      <c r="B164" s="4">
        <f>21.8674 * CHOOSE(CONTROL!$C$10, $C$13, 100%, $E$13) + CHOOSE(CONTROL!$C$29, 0.0272, 0)</f>
        <v>21.894600000000001</v>
      </c>
      <c r="C164" s="4">
        <f>21.5041 * CHOOSE(CONTROL!$C$10, $C$13, 100%, $E$13) + CHOOSE(CONTROL!$C$29, 0.0272, 0)</f>
        <v>21.531300000000002</v>
      </c>
      <c r="D164" s="4">
        <f>31.1757 * CHOOSE(CONTROL!$C$10, $C$13, 100%, $E$13) + CHOOSE(CONTROL!$C$29, 0.0021, 0)</f>
        <v>31.177799999999998</v>
      </c>
      <c r="E164" s="4">
        <f>137.866488996515 * CHOOSE(CONTROL!$C$10, $C$13, 100%, $E$13) + CHOOSE(CONTROL!$C$29, 0.0021, 0)</f>
        <v>137.868588996515</v>
      </c>
    </row>
    <row r="165" spans="1:5" ht="15">
      <c r="A165" s="13">
        <v>46143</v>
      </c>
      <c r="B165" s="4">
        <f>22.3725 * CHOOSE(CONTROL!$C$10, $C$13, 100%, $E$13) + CHOOSE(CONTROL!$C$29, 0.0272, 0)</f>
        <v>22.399699999999999</v>
      </c>
      <c r="C165" s="4">
        <f>22.0092 * CHOOSE(CONTROL!$C$10, $C$13, 100%, $E$13) + CHOOSE(CONTROL!$C$29, 0.0272, 0)</f>
        <v>22.0364</v>
      </c>
      <c r="D165" s="4">
        <f>30.8472 * CHOOSE(CONTROL!$C$10, $C$13, 100%, $E$13) + CHOOSE(CONTROL!$C$29, 0.0021, 0)</f>
        <v>30.849299999999999</v>
      </c>
      <c r="E165" s="4">
        <f>141.167747578103 * CHOOSE(CONTROL!$C$10, $C$13, 100%, $E$13) + CHOOSE(CONTROL!$C$29, 0.0021, 0)</f>
        <v>141.169847578103</v>
      </c>
    </row>
    <row r="166" spans="1:5" ht="15">
      <c r="A166" s="13">
        <v>46174</v>
      </c>
      <c r="B166" s="4">
        <f>22.4408 * CHOOSE(CONTROL!$C$10, $C$13, 100%, $E$13) + CHOOSE(CONTROL!$C$29, 0.0272, 0)</f>
        <v>22.468</v>
      </c>
      <c r="C166" s="4">
        <f>22.0776 * CHOOSE(CONTROL!$C$10, $C$13, 100%, $E$13) + CHOOSE(CONTROL!$C$29, 0.0272, 0)</f>
        <v>22.104800000000001</v>
      </c>
      <c r="D166" s="4">
        <f>31.1147 * CHOOSE(CONTROL!$C$10, $C$13, 100%, $E$13) + CHOOSE(CONTROL!$C$29, 0.0021, 0)</f>
        <v>31.116799999999998</v>
      </c>
      <c r="E166" s="4">
        <f>141.614421564696 * CHOOSE(CONTROL!$C$10, $C$13, 100%, $E$13) + CHOOSE(CONTROL!$C$29, 0.0021, 0)</f>
        <v>141.616521564696</v>
      </c>
    </row>
    <row r="167" spans="1:5" ht="15">
      <c r="A167" s="13">
        <v>46204</v>
      </c>
      <c r="B167" s="4">
        <f>22.4339 * CHOOSE(CONTROL!$C$10, $C$13, 100%, $E$13) + CHOOSE(CONTROL!$C$29, 0.0272, 0)</f>
        <v>22.461100000000002</v>
      </c>
      <c r="C167" s="4">
        <f>22.0707 * CHOOSE(CONTROL!$C$10, $C$13, 100%, $E$13) + CHOOSE(CONTROL!$C$29, 0.0272, 0)</f>
        <v>22.097899999999999</v>
      </c>
      <c r="D167" s="4">
        <f>31.5976 * CHOOSE(CONTROL!$C$10, $C$13, 100%, $E$13) + CHOOSE(CONTROL!$C$29, 0.0021, 0)</f>
        <v>31.599699999999999</v>
      </c>
      <c r="E167" s="4">
        <f>141.569378809746 * CHOOSE(CONTROL!$C$10, $C$13, 100%, $E$13) + CHOOSE(CONTROL!$C$29, 0.0021, 0)</f>
        <v>141.57147880974603</v>
      </c>
    </row>
    <row r="168" spans="1:5" ht="15">
      <c r="A168" s="13">
        <v>46235</v>
      </c>
      <c r="B168" s="4">
        <f>22.9525 * CHOOSE(CONTROL!$C$10, $C$13, 100%, $E$13) + CHOOSE(CONTROL!$C$29, 0.0272, 0)</f>
        <v>22.979700000000001</v>
      </c>
      <c r="C168" s="4">
        <f>22.5893 * CHOOSE(CONTROL!$C$10, $C$13, 100%, $E$13) + CHOOSE(CONTROL!$C$29, 0.0272, 0)</f>
        <v>22.616500000000002</v>
      </c>
      <c r="D168" s="4">
        <f>31.2787 * CHOOSE(CONTROL!$C$10, $C$13, 100%, $E$13) + CHOOSE(CONTROL!$C$29, 0.0021, 0)</f>
        <v>31.280799999999999</v>
      </c>
      <c r="E168" s="4">
        <f>144.958846119779 * CHOOSE(CONTROL!$C$10, $C$13, 100%, $E$13) + CHOOSE(CONTROL!$C$29, 0.0021, 0)</f>
        <v>144.96094611977901</v>
      </c>
    </row>
    <row r="169" spans="1:5" ht="15">
      <c r="A169" s="13">
        <v>46266</v>
      </c>
      <c r="B169" s="4">
        <f>22.0687 * CHOOSE(CONTROL!$C$10, $C$13, 100%, $E$13) + CHOOSE(CONTROL!$C$29, 0.0272, 0)</f>
        <v>22.0959</v>
      </c>
      <c r="C169" s="4">
        <f>21.7054 * CHOOSE(CONTROL!$C$10, $C$13, 100%, $E$13) + CHOOSE(CONTROL!$C$29, 0.0272, 0)</f>
        <v>21.732600000000001</v>
      </c>
      <c r="D169" s="4">
        <f>31.1281 * CHOOSE(CONTROL!$C$10, $C$13, 100%, $E$13) + CHOOSE(CONTROL!$C$29, 0.0021, 0)</f>
        <v>31.130199999999999</v>
      </c>
      <c r="E169" s="4">
        <f>139.182112797364 * CHOOSE(CONTROL!$C$10, $C$13, 100%, $E$13) + CHOOSE(CONTROL!$C$29, 0.0021, 0)</f>
        <v>139.18421279736401</v>
      </c>
    </row>
    <row r="170" spans="1:5" ht="15">
      <c r="A170" s="13">
        <v>46296</v>
      </c>
      <c r="B170" s="4">
        <f>21.3611 * CHOOSE(CONTROL!$C$10, $C$13, 100%, $E$13) + CHOOSE(CONTROL!$C$29, 0.0272, 0)</f>
        <v>21.388300000000001</v>
      </c>
      <c r="C170" s="4">
        <f>20.9979 * CHOOSE(CONTROL!$C$10, $C$13, 100%, $E$13) + CHOOSE(CONTROL!$C$29, 0.0272, 0)</f>
        <v>21.025100000000002</v>
      </c>
      <c r="D170" s="4">
        <f>30.7247 * CHOOSE(CONTROL!$C$10, $C$13, 100%, $E$13) + CHOOSE(CONTROL!$C$29, 0.0021, 0)</f>
        <v>30.726799999999997</v>
      </c>
      <c r="E170" s="4">
        <f>134.557723289102 * CHOOSE(CONTROL!$C$10, $C$13, 100%, $E$13) + CHOOSE(CONTROL!$C$29, 0.0021, 0)</f>
        <v>134.55982328910201</v>
      </c>
    </row>
    <row r="171" spans="1:5" ht="15">
      <c r="A171" s="13">
        <v>46327</v>
      </c>
      <c r="B171" s="4">
        <f>20.9054 * CHOOSE(CONTROL!$C$10, $C$13, 100%, $E$13) + CHOOSE(CONTROL!$C$29, 0.0272, 0)</f>
        <v>20.932600000000001</v>
      </c>
      <c r="C171" s="4">
        <f>20.5422 * CHOOSE(CONTROL!$C$10, $C$13, 100%, $E$13) + CHOOSE(CONTROL!$C$29, 0.0272, 0)</f>
        <v>20.569400000000002</v>
      </c>
      <c r="D171" s="4">
        <f>30.586 * CHOOSE(CONTROL!$C$10, $C$13, 100%, $E$13) + CHOOSE(CONTROL!$C$29, 0.0021, 0)</f>
        <v>30.588099999999997</v>
      </c>
      <c r="E171" s="4">
        <f>131.579271117993 * CHOOSE(CONTROL!$C$10, $C$13, 100%, $E$13) + CHOOSE(CONTROL!$C$29, 0.0021, 0)</f>
        <v>131.581371117993</v>
      </c>
    </row>
    <row r="172" spans="1:5" ht="15">
      <c r="A172" s="13">
        <v>46357</v>
      </c>
      <c r="B172" s="4">
        <f>20.5901 * CHOOSE(CONTROL!$C$10, $C$13, 100%, $E$13) + CHOOSE(CONTROL!$C$29, 0.0272, 0)</f>
        <v>20.6173</v>
      </c>
      <c r="C172" s="4">
        <f>20.2269 * CHOOSE(CONTROL!$C$10, $C$13, 100%, $E$13) + CHOOSE(CONTROL!$C$29, 0.0272, 0)</f>
        <v>20.254100000000001</v>
      </c>
      <c r="D172" s="4">
        <f>29.565 * CHOOSE(CONTROL!$C$10, $C$13, 100%, $E$13) + CHOOSE(CONTROL!$C$29, 0.0021, 0)</f>
        <v>29.5671</v>
      </c>
      <c r="E172" s="4">
        <f>129.518565079003 * CHOOSE(CONTROL!$C$10, $C$13, 100%, $E$13) + CHOOSE(CONTROL!$C$29, 0.0021, 0)</f>
        <v>129.52066507900301</v>
      </c>
    </row>
    <row r="173" spans="1:5" ht="15">
      <c r="A173" s="13">
        <v>46388</v>
      </c>
      <c r="B173" s="4">
        <f>20.2067 * CHOOSE(CONTROL!$C$10, $C$13, 100%, $E$13) + CHOOSE(CONTROL!$C$29, 0.0272, 0)</f>
        <v>20.233900000000002</v>
      </c>
      <c r="C173" s="4">
        <f>19.8434 * CHOOSE(CONTROL!$C$10, $C$13, 100%, $E$13) + CHOOSE(CONTROL!$C$29, 0.0272, 0)</f>
        <v>19.8706</v>
      </c>
      <c r="D173" s="4">
        <f>28.9315 * CHOOSE(CONTROL!$C$10, $C$13, 100%, $E$13) + CHOOSE(CONTROL!$C$29, 0.0021, 0)</f>
        <v>28.933599999999998</v>
      </c>
      <c r="E173" s="4">
        <f>126.958763979509 * CHOOSE(CONTROL!$C$10, $C$13, 100%, $E$13) + CHOOSE(CONTROL!$C$29, 0.0021, 0)</f>
        <v>126.960863979509</v>
      </c>
    </row>
    <row r="174" spans="1:5" ht="15">
      <c r="A174" s="13">
        <v>46419</v>
      </c>
      <c r="B174" s="4">
        <f>20.6681 * CHOOSE(CONTROL!$C$10, $C$13, 100%, $E$13) + CHOOSE(CONTROL!$C$29, 0.0272, 0)</f>
        <v>20.6953</v>
      </c>
      <c r="C174" s="4">
        <f>20.3049 * CHOOSE(CONTROL!$C$10, $C$13, 100%, $E$13) + CHOOSE(CONTROL!$C$29, 0.0272, 0)</f>
        <v>20.332100000000001</v>
      </c>
      <c r="D174" s="4">
        <f>29.8872 * CHOOSE(CONTROL!$C$10, $C$13, 100%, $E$13) + CHOOSE(CONTROL!$C$29, 0.0021, 0)</f>
        <v>29.889299999999999</v>
      </c>
      <c r="E174" s="4">
        <f>129.973265369374 * CHOOSE(CONTROL!$C$10, $C$13, 100%, $E$13) + CHOOSE(CONTROL!$C$29, 0.0021, 0)</f>
        <v>129.975365369374</v>
      </c>
    </row>
    <row r="175" spans="1:5" ht="15">
      <c r="A175" s="13">
        <v>46447</v>
      </c>
      <c r="B175" s="4">
        <f>21.8799 * CHOOSE(CONTROL!$C$10, $C$13, 100%, $E$13) + CHOOSE(CONTROL!$C$29, 0.0272, 0)</f>
        <v>21.9071</v>
      </c>
      <c r="C175" s="4">
        <f>21.5166 * CHOOSE(CONTROL!$C$10, $C$13, 100%, $E$13) + CHOOSE(CONTROL!$C$29, 0.0272, 0)</f>
        <v>21.543800000000001</v>
      </c>
      <c r="D175" s="4">
        <f>31.3834 * CHOOSE(CONTROL!$C$10, $C$13, 100%, $E$13) + CHOOSE(CONTROL!$C$29, 0.0021, 0)</f>
        <v>31.3855</v>
      </c>
      <c r="E175" s="4">
        <f>137.889506219493 * CHOOSE(CONTROL!$C$10, $C$13, 100%, $E$13) + CHOOSE(CONTROL!$C$29, 0.0021, 0)</f>
        <v>137.89160621949301</v>
      </c>
    </row>
    <row r="176" spans="1:5" ht="15">
      <c r="A176" s="13">
        <v>46478</v>
      </c>
      <c r="B176" s="4">
        <f>22.7408 * CHOOSE(CONTROL!$C$10, $C$13, 100%, $E$13) + CHOOSE(CONTROL!$C$29, 0.0272, 0)</f>
        <v>22.768000000000001</v>
      </c>
      <c r="C176" s="4">
        <f>22.3775 * CHOOSE(CONTROL!$C$10, $C$13, 100%, $E$13) + CHOOSE(CONTROL!$C$29, 0.0272, 0)</f>
        <v>22.404700000000002</v>
      </c>
      <c r="D176" s="4">
        <f>32.2452 * CHOOSE(CONTROL!$C$10, $C$13, 100%, $E$13) + CHOOSE(CONTROL!$C$29, 0.0021, 0)</f>
        <v>32.247299999999996</v>
      </c>
      <c r="E176" s="4">
        <f>143.514100841283 * CHOOSE(CONTROL!$C$10, $C$13, 100%, $E$13) + CHOOSE(CONTROL!$C$29, 0.0021, 0)</f>
        <v>143.51620084128302</v>
      </c>
    </row>
    <row r="177" spans="1:5" ht="15">
      <c r="A177" s="13">
        <v>46508</v>
      </c>
      <c r="B177" s="4">
        <f>23.2668 * CHOOSE(CONTROL!$C$10, $C$13, 100%, $E$13) + CHOOSE(CONTROL!$C$29, 0.0272, 0)</f>
        <v>23.294</v>
      </c>
      <c r="C177" s="4">
        <f>22.9035 * CHOOSE(CONTROL!$C$10, $C$13, 100%, $E$13) + CHOOSE(CONTROL!$C$29, 0.0272, 0)</f>
        <v>22.930700000000002</v>
      </c>
      <c r="D177" s="4">
        <f>31.9047 * CHOOSE(CONTROL!$C$10, $C$13, 100%, $E$13) + CHOOSE(CONTROL!$C$29, 0.0021, 0)</f>
        <v>31.906799999999997</v>
      </c>
      <c r="E177" s="4">
        <f>146.950593352477 * CHOOSE(CONTROL!$C$10, $C$13, 100%, $E$13) + CHOOSE(CONTROL!$C$29, 0.0021, 0)</f>
        <v>146.95269335247701</v>
      </c>
    </row>
    <row r="178" spans="1:5" ht="15">
      <c r="A178" s="13">
        <v>46539</v>
      </c>
      <c r="B178" s="4">
        <f>23.338 * CHOOSE(CONTROL!$C$10, $C$13, 100%, $E$13) + CHOOSE(CONTROL!$C$29, 0.0272, 0)</f>
        <v>23.365200000000002</v>
      </c>
      <c r="C178" s="4">
        <f>22.9747 * CHOOSE(CONTROL!$C$10, $C$13, 100%, $E$13) + CHOOSE(CONTROL!$C$29, 0.0272, 0)</f>
        <v>23.001899999999999</v>
      </c>
      <c r="D178" s="4">
        <f>32.182 * CHOOSE(CONTROL!$C$10, $C$13, 100%, $E$13) + CHOOSE(CONTROL!$C$29, 0.0021, 0)</f>
        <v>32.184100000000001</v>
      </c>
      <c r="E178" s="4">
        <f>147.415565050978 * CHOOSE(CONTROL!$C$10, $C$13, 100%, $E$13) + CHOOSE(CONTROL!$C$29, 0.0021, 0)</f>
        <v>147.417665050978</v>
      </c>
    </row>
    <row r="179" spans="1:5" ht="15">
      <c r="A179" s="13">
        <v>46569</v>
      </c>
      <c r="B179" s="4">
        <f>23.3308 * CHOOSE(CONTROL!$C$10, $C$13, 100%, $E$13) + CHOOSE(CONTROL!$C$29, 0.0272, 0)</f>
        <v>23.358000000000001</v>
      </c>
      <c r="C179" s="4">
        <f>22.9675 * CHOOSE(CONTROL!$C$10, $C$13, 100%, $E$13) + CHOOSE(CONTROL!$C$29, 0.0272, 0)</f>
        <v>22.994700000000002</v>
      </c>
      <c r="D179" s="4">
        <f>32.6825 * CHOOSE(CONTROL!$C$10, $C$13, 100%, $E$13) + CHOOSE(CONTROL!$C$29, 0.0021, 0)</f>
        <v>32.684599999999996</v>
      </c>
      <c r="E179" s="4">
        <f>147.368677148608 * CHOOSE(CONTROL!$C$10, $C$13, 100%, $E$13) + CHOOSE(CONTROL!$C$29, 0.0021, 0)</f>
        <v>147.370777148608</v>
      </c>
    </row>
    <row r="180" spans="1:5" ht="15">
      <c r="A180" s="13">
        <v>46600</v>
      </c>
      <c r="B180" s="4">
        <f>23.8709 * CHOOSE(CONTROL!$C$10, $C$13, 100%, $E$13) + CHOOSE(CONTROL!$C$29, 0.0272, 0)</f>
        <v>23.898099999999999</v>
      </c>
      <c r="C180" s="4">
        <f>23.5076 * CHOOSE(CONTROL!$C$10, $C$13, 100%, $E$13) + CHOOSE(CONTROL!$C$29, 0.0272, 0)</f>
        <v>23.534800000000001</v>
      </c>
      <c r="D180" s="4">
        <f>32.352 * CHOOSE(CONTROL!$C$10, $C$13, 100%, $E$13) + CHOOSE(CONTROL!$C$29, 0.0021, 0)</f>
        <v>32.354099999999995</v>
      </c>
      <c r="E180" s="4">
        <f>150.896991801944 * CHOOSE(CONTROL!$C$10, $C$13, 100%, $E$13) + CHOOSE(CONTROL!$C$29, 0.0021, 0)</f>
        <v>150.89909180194402</v>
      </c>
    </row>
    <row r="181" spans="1:5" ht="15">
      <c r="A181" s="13">
        <v>46631</v>
      </c>
      <c r="B181" s="4">
        <f>22.9504 * CHOOSE(CONTROL!$C$10, $C$13, 100%, $E$13) + CHOOSE(CONTROL!$C$29, 0.0272, 0)</f>
        <v>22.977599999999999</v>
      </c>
      <c r="C181" s="4">
        <f>22.5872 * CHOOSE(CONTROL!$C$10, $C$13, 100%, $E$13) + CHOOSE(CONTROL!$C$29, 0.0272, 0)</f>
        <v>22.6144</v>
      </c>
      <c r="D181" s="4">
        <f>32.1958 * CHOOSE(CONTROL!$C$10, $C$13, 100%, $E$13) + CHOOSE(CONTROL!$C$29, 0.0021, 0)</f>
        <v>32.197899999999997</v>
      </c>
      <c r="E181" s="4">
        <f>144.883618323004 * CHOOSE(CONTROL!$C$10, $C$13, 100%, $E$13) + CHOOSE(CONTROL!$C$29, 0.0021, 0)</f>
        <v>144.885718323004</v>
      </c>
    </row>
    <row r="182" spans="1:5" ht="15">
      <c r="A182" s="13">
        <v>46661</v>
      </c>
      <c r="B182" s="4">
        <f>22.2136 * CHOOSE(CONTROL!$C$10, $C$13, 100%, $E$13) + CHOOSE(CONTROL!$C$29, 0.0272, 0)</f>
        <v>22.2408</v>
      </c>
      <c r="C182" s="4">
        <f>21.8503 * CHOOSE(CONTROL!$C$10, $C$13, 100%, $E$13) + CHOOSE(CONTROL!$C$29, 0.0272, 0)</f>
        <v>21.877500000000001</v>
      </c>
      <c r="D182" s="4">
        <f>31.7777 * CHOOSE(CONTROL!$C$10, $C$13, 100%, $E$13) + CHOOSE(CONTROL!$C$29, 0.0021, 0)</f>
        <v>31.779799999999998</v>
      </c>
      <c r="E182" s="4">
        <f>140.069793679693 * CHOOSE(CONTROL!$C$10, $C$13, 100%, $E$13) + CHOOSE(CONTROL!$C$29, 0.0021, 0)</f>
        <v>140.07189367969301</v>
      </c>
    </row>
    <row r="183" spans="1:5" ht="15">
      <c r="A183" s="13">
        <v>46692</v>
      </c>
      <c r="B183" s="4">
        <f>21.739 * CHOOSE(CONTROL!$C$10, $C$13, 100%, $E$13) + CHOOSE(CONTROL!$C$29, 0.0272, 0)</f>
        <v>21.766200000000001</v>
      </c>
      <c r="C183" s="4">
        <f>21.3757 * CHOOSE(CONTROL!$C$10, $C$13, 100%, $E$13) + CHOOSE(CONTROL!$C$29, 0.0272, 0)</f>
        <v>21.402899999999999</v>
      </c>
      <c r="D183" s="4">
        <f>31.634 * CHOOSE(CONTROL!$C$10, $C$13, 100%, $E$13) + CHOOSE(CONTROL!$C$29, 0.0021, 0)</f>
        <v>31.636099999999999</v>
      </c>
      <c r="E183" s="4">
        <f>136.969331135483 * CHOOSE(CONTROL!$C$10, $C$13, 100%, $E$13) + CHOOSE(CONTROL!$C$29, 0.0021, 0)</f>
        <v>136.97143113548302</v>
      </c>
    </row>
    <row r="184" spans="1:5" ht="15">
      <c r="A184" s="13">
        <v>46722</v>
      </c>
      <c r="B184" s="4">
        <f>21.4107 * CHOOSE(CONTROL!$C$10, $C$13, 100%, $E$13) + CHOOSE(CONTROL!$C$29, 0.0272, 0)</f>
        <v>21.437899999999999</v>
      </c>
      <c r="C184" s="4">
        <f>21.0474 * CHOOSE(CONTROL!$C$10, $C$13, 100%, $E$13) + CHOOSE(CONTROL!$C$29, 0.0272, 0)</f>
        <v>21.0746</v>
      </c>
      <c r="D184" s="4">
        <f>30.5757 * CHOOSE(CONTROL!$C$10, $C$13, 100%, $E$13) + CHOOSE(CONTROL!$C$29, 0.0021, 0)</f>
        <v>30.5778</v>
      </c>
      <c r="E184" s="4">
        <f>134.82420960206 * CHOOSE(CONTROL!$C$10, $C$13, 100%, $E$13) + CHOOSE(CONTROL!$C$29, 0.0021, 0)</f>
        <v>134.82630960206001</v>
      </c>
    </row>
    <row r="185" spans="1:5" ht="15">
      <c r="A185" s="13">
        <v>46753</v>
      </c>
      <c r="B185" s="4">
        <f>20.9756 * CHOOSE(CONTROL!$C$10, $C$13, 100%, $E$13) + CHOOSE(CONTROL!$C$29, 0.0272, 0)</f>
        <v>21.002800000000001</v>
      </c>
      <c r="C185" s="4">
        <f>20.6123 * CHOOSE(CONTROL!$C$10, $C$13, 100%, $E$13) + CHOOSE(CONTROL!$C$29, 0.0272, 0)</f>
        <v>20.639500000000002</v>
      </c>
      <c r="D185" s="4">
        <f>29.8629 * CHOOSE(CONTROL!$C$10, $C$13, 100%, $E$13) + CHOOSE(CONTROL!$C$29, 0.0021, 0)</f>
        <v>29.864999999999998</v>
      </c>
      <c r="E185" s="4">
        <f>132.155863753353 * CHOOSE(CONTROL!$C$10, $C$13, 100%, $E$13) + CHOOSE(CONTROL!$C$29, 0.0021, 0)</f>
        <v>132.15796375335302</v>
      </c>
    </row>
    <row r="186" spans="1:5" ht="15">
      <c r="A186" s="13">
        <v>46784</v>
      </c>
      <c r="B186" s="4">
        <f>21.4553 * CHOOSE(CONTROL!$C$10, $C$13, 100%, $E$13) + CHOOSE(CONTROL!$C$29, 0.0272, 0)</f>
        <v>21.482500000000002</v>
      </c>
      <c r="C186" s="4">
        <f>21.092 * CHOOSE(CONTROL!$C$10, $C$13, 100%, $E$13) + CHOOSE(CONTROL!$C$29, 0.0272, 0)</f>
        <v>21.119199999999999</v>
      </c>
      <c r="D186" s="4">
        <f>30.8515 * CHOOSE(CONTROL!$C$10, $C$13, 100%, $E$13) + CHOOSE(CONTROL!$C$29, 0.0021, 0)</f>
        <v>30.8536</v>
      </c>
      <c r="E186" s="4">
        <f>135.293764773149 * CHOOSE(CONTROL!$C$10, $C$13, 100%, $E$13) + CHOOSE(CONTROL!$C$29, 0.0021, 0)</f>
        <v>135.29586477314902</v>
      </c>
    </row>
    <row r="187" spans="1:5" ht="15">
      <c r="A187" s="13">
        <v>46813</v>
      </c>
      <c r="B187" s="4">
        <f>22.7149 * CHOOSE(CONTROL!$C$10, $C$13, 100%, $E$13) + CHOOSE(CONTROL!$C$29, 0.0272, 0)</f>
        <v>22.742100000000001</v>
      </c>
      <c r="C187" s="4">
        <f>22.3516 * CHOOSE(CONTROL!$C$10, $C$13, 100%, $E$13) + CHOOSE(CONTROL!$C$29, 0.0272, 0)</f>
        <v>22.378800000000002</v>
      </c>
      <c r="D187" s="4">
        <f>32.3991 * CHOOSE(CONTROL!$C$10, $C$13, 100%, $E$13) + CHOOSE(CONTROL!$C$29, 0.0021, 0)</f>
        <v>32.401199999999996</v>
      </c>
      <c r="E187" s="4">
        <f>143.53405960932 * CHOOSE(CONTROL!$C$10, $C$13, 100%, $E$13) + CHOOSE(CONTROL!$C$29, 0.0021, 0)</f>
        <v>143.53615960932001</v>
      </c>
    </row>
    <row r="188" spans="1:5" ht="15">
      <c r="A188" s="13">
        <v>46844</v>
      </c>
      <c r="B188" s="4">
        <f>23.6099 * CHOOSE(CONTROL!$C$10, $C$13, 100%, $E$13) + CHOOSE(CONTROL!$C$29, 0.0272, 0)</f>
        <v>23.6371</v>
      </c>
      <c r="C188" s="4">
        <f>23.2467 * CHOOSE(CONTROL!$C$10, $C$13, 100%, $E$13) + CHOOSE(CONTROL!$C$29, 0.0272, 0)</f>
        <v>23.273900000000001</v>
      </c>
      <c r="D188" s="4">
        <f>33.2906 * CHOOSE(CONTROL!$C$10, $C$13, 100%, $E$13) + CHOOSE(CONTROL!$C$29, 0.0021, 0)</f>
        <v>33.292699999999996</v>
      </c>
      <c r="E188" s="4">
        <f>149.388898906787 * CHOOSE(CONTROL!$C$10, $C$13, 100%, $E$13) + CHOOSE(CONTROL!$C$29, 0.0021, 0)</f>
        <v>149.39099890678702</v>
      </c>
    </row>
    <row r="189" spans="1:5" ht="15">
      <c r="A189" s="13">
        <v>46874</v>
      </c>
      <c r="B189" s="4">
        <f>24.1568 * CHOOSE(CONTROL!$C$10, $C$13, 100%, $E$13) + CHOOSE(CONTROL!$C$29, 0.0272, 0)</f>
        <v>24.184000000000001</v>
      </c>
      <c r="C189" s="4">
        <f>23.7935 * CHOOSE(CONTROL!$C$10, $C$13, 100%, $E$13) + CHOOSE(CONTROL!$C$29, 0.0272, 0)</f>
        <v>23.820700000000002</v>
      </c>
      <c r="D189" s="4">
        <f>32.9384 * CHOOSE(CONTROL!$C$10, $C$13, 100%, $E$13) + CHOOSE(CONTROL!$C$29, 0.0021, 0)</f>
        <v>32.9405</v>
      </c>
      <c r="E189" s="4">
        <f>152.966065396625 * CHOOSE(CONTROL!$C$10, $C$13, 100%, $E$13) + CHOOSE(CONTROL!$C$29, 0.0021, 0)</f>
        <v>152.96816539662501</v>
      </c>
    </row>
    <row r="190" spans="1:5" ht="15">
      <c r="A190" s="13">
        <v>46905</v>
      </c>
      <c r="B190" s="4">
        <f>24.2308 * CHOOSE(CONTROL!$C$10, $C$13, 100%, $E$13) + CHOOSE(CONTROL!$C$29, 0.0272, 0)</f>
        <v>24.257999999999999</v>
      </c>
      <c r="C190" s="4">
        <f>23.8675 * CHOOSE(CONTROL!$C$10, $C$13, 100%, $E$13) + CHOOSE(CONTROL!$C$29, 0.0272, 0)</f>
        <v>23.8947</v>
      </c>
      <c r="D190" s="4">
        <f>33.2252 * CHOOSE(CONTROL!$C$10, $C$13, 100%, $E$13) + CHOOSE(CONTROL!$C$29, 0.0021, 0)</f>
        <v>33.2273</v>
      </c>
      <c r="E190" s="4">
        <f>153.450070868246 * CHOOSE(CONTROL!$C$10, $C$13, 100%, $E$13) + CHOOSE(CONTROL!$C$29, 0.0021, 0)</f>
        <v>153.45217086824601</v>
      </c>
    </row>
    <row r="191" spans="1:5" ht="15">
      <c r="A191" s="13">
        <v>46935</v>
      </c>
      <c r="B191" s="4">
        <f>24.2233 * CHOOSE(CONTROL!$C$10, $C$13, 100%, $E$13) + CHOOSE(CONTROL!$C$29, 0.0272, 0)</f>
        <v>24.250499999999999</v>
      </c>
      <c r="C191" s="4">
        <f>23.86 * CHOOSE(CONTROL!$C$10, $C$13, 100%, $E$13) + CHOOSE(CONTROL!$C$29, 0.0272, 0)</f>
        <v>23.8872</v>
      </c>
      <c r="D191" s="4">
        <f>33.7429 * CHOOSE(CONTROL!$C$10, $C$13, 100%, $E$13) + CHOOSE(CONTROL!$C$29, 0.0021, 0)</f>
        <v>33.744999999999997</v>
      </c>
      <c r="E191" s="4">
        <f>153.401263593797 * CHOOSE(CONTROL!$C$10, $C$13, 100%, $E$13) + CHOOSE(CONTROL!$C$29, 0.0021, 0)</f>
        <v>153.40336359379702</v>
      </c>
    </row>
    <row r="192" spans="1:5" ht="15">
      <c r="A192" s="13">
        <v>46966</v>
      </c>
      <c r="B192" s="4">
        <f>24.7847 * CHOOSE(CONTROL!$C$10, $C$13, 100%, $E$13) + CHOOSE(CONTROL!$C$29, 0.0272, 0)</f>
        <v>24.811900000000001</v>
      </c>
      <c r="C192" s="4">
        <f>24.4214 * CHOOSE(CONTROL!$C$10, $C$13, 100%, $E$13) + CHOOSE(CONTROL!$C$29, 0.0272, 0)</f>
        <v>24.448599999999999</v>
      </c>
      <c r="D192" s="4">
        <f>33.401 * CHOOSE(CONTROL!$C$10, $C$13, 100%, $E$13) + CHOOSE(CONTROL!$C$29, 0.0021, 0)</f>
        <v>33.403100000000002</v>
      </c>
      <c r="E192" s="4">
        <f>157.074010996099 * CHOOSE(CONTROL!$C$10, $C$13, 100%, $E$13) + CHOOSE(CONTROL!$C$29, 0.0021, 0)</f>
        <v>157.076110996099</v>
      </c>
    </row>
    <row r="193" spans="1:5" ht="15">
      <c r="A193" s="13">
        <v>46997</v>
      </c>
      <c r="B193" s="4">
        <f>23.8279 * CHOOSE(CONTROL!$C$10, $C$13, 100%, $E$13) + CHOOSE(CONTROL!$C$29, 0.0272, 0)</f>
        <v>23.8551</v>
      </c>
      <c r="C193" s="4">
        <f>23.4646 * CHOOSE(CONTROL!$C$10, $C$13, 100%, $E$13) + CHOOSE(CONTROL!$C$29, 0.0272, 0)</f>
        <v>23.491800000000001</v>
      </c>
      <c r="D193" s="4">
        <f>33.2395 * CHOOSE(CONTROL!$C$10, $C$13, 100%, $E$13) + CHOOSE(CONTROL!$C$29, 0.0021, 0)</f>
        <v>33.241599999999998</v>
      </c>
      <c r="E193" s="4">
        <f>150.81447804799 * CHOOSE(CONTROL!$C$10, $C$13, 100%, $E$13) + CHOOSE(CONTROL!$C$29, 0.0021, 0)</f>
        <v>150.81657804799002</v>
      </c>
    </row>
    <row r="194" spans="1:5" ht="15">
      <c r="A194" s="13">
        <v>47027</v>
      </c>
      <c r="B194" s="4">
        <f>23.0619 * CHOOSE(CONTROL!$C$10, $C$13, 100%, $E$13) + CHOOSE(CONTROL!$C$29, 0.0272, 0)</f>
        <v>23.089100000000002</v>
      </c>
      <c r="C194" s="4">
        <f>22.6986 * CHOOSE(CONTROL!$C$10, $C$13, 100%, $E$13) + CHOOSE(CONTROL!$C$29, 0.0272, 0)</f>
        <v>22.7258</v>
      </c>
      <c r="D194" s="4">
        <f>32.807 * CHOOSE(CONTROL!$C$10, $C$13, 100%, $E$13) + CHOOSE(CONTROL!$C$29, 0.0021, 0)</f>
        <v>32.809100000000001</v>
      </c>
      <c r="E194" s="4">
        <f>145.803597871207 * CHOOSE(CONTROL!$C$10, $C$13, 100%, $E$13) + CHOOSE(CONTROL!$C$29, 0.0021, 0)</f>
        <v>145.805697871207</v>
      </c>
    </row>
    <row r="195" spans="1:5" ht="15">
      <c r="A195" s="13">
        <v>47058</v>
      </c>
      <c r="B195" s="4">
        <f>22.5685 * CHOOSE(CONTROL!$C$10, $C$13, 100%, $E$13) + CHOOSE(CONTROL!$C$29, 0.0272, 0)</f>
        <v>22.595700000000001</v>
      </c>
      <c r="C195" s="4">
        <f>22.2052 * CHOOSE(CONTROL!$C$10, $C$13, 100%, $E$13) + CHOOSE(CONTROL!$C$29, 0.0272, 0)</f>
        <v>22.232400000000002</v>
      </c>
      <c r="D195" s="4">
        <f>32.6583 * CHOOSE(CONTROL!$C$10, $C$13, 100%, $E$13) + CHOOSE(CONTROL!$C$29, 0.0021, 0)</f>
        <v>32.660399999999996</v>
      </c>
      <c r="E195" s="4">
        <f>142.576216848254 * CHOOSE(CONTROL!$C$10, $C$13, 100%, $E$13) + CHOOSE(CONTROL!$C$29, 0.0021, 0)</f>
        <v>142.57831684825402</v>
      </c>
    </row>
    <row r="196" spans="1:5" ht="15">
      <c r="A196" s="13">
        <v>47088</v>
      </c>
      <c r="B196" s="4">
        <f>22.2272 * CHOOSE(CONTROL!$C$10, $C$13, 100%, $E$13) + CHOOSE(CONTROL!$C$29, 0.0272, 0)</f>
        <v>22.2544</v>
      </c>
      <c r="C196" s="4">
        <f>21.8639 * CHOOSE(CONTROL!$C$10, $C$13, 100%, $E$13) + CHOOSE(CONTROL!$C$29, 0.0272, 0)</f>
        <v>21.891100000000002</v>
      </c>
      <c r="D196" s="4">
        <f>31.5637 * CHOOSE(CONTROL!$C$10, $C$13, 100%, $E$13) + CHOOSE(CONTROL!$C$29, 0.0021, 0)</f>
        <v>31.565799999999999</v>
      </c>
      <c r="E196" s="4">
        <f>140.343284042204 * CHOOSE(CONTROL!$C$10, $C$13, 100%, $E$13) + CHOOSE(CONTROL!$C$29, 0.0021, 0)</f>
        <v>140.34538404220402</v>
      </c>
    </row>
    <row r="197" spans="1:5" ht="15">
      <c r="A197" s="13">
        <v>47119</v>
      </c>
      <c r="B197" s="4">
        <f>21.8195 * CHOOSE(CONTROL!$C$10, $C$13, 100%, $E$13) + CHOOSE(CONTROL!$C$29, 0.0272, 0)</f>
        <v>21.846700000000002</v>
      </c>
      <c r="C197" s="4">
        <f>21.4562 * CHOOSE(CONTROL!$C$10, $C$13, 100%, $E$13) + CHOOSE(CONTROL!$C$29, 0.0272, 0)</f>
        <v>21.4834</v>
      </c>
      <c r="D197" s="4">
        <f>30.7868 * CHOOSE(CONTROL!$C$10, $C$13, 100%, $E$13) + CHOOSE(CONTROL!$C$29, 0.0021, 0)</f>
        <v>30.788899999999998</v>
      </c>
      <c r="E197" s="4">
        <f>137.562041462112 * CHOOSE(CONTROL!$C$10, $C$13, 100%, $E$13) + CHOOSE(CONTROL!$C$29, 0.0021, 0)</f>
        <v>137.56414146211202</v>
      </c>
    </row>
    <row r="198" spans="1:5" ht="15">
      <c r="A198" s="13">
        <v>47150</v>
      </c>
      <c r="B198" s="4">
        <f>22.3192 * CHOOSE(CONTROL!$C$10, $C$13, 100%, $E$13) + CHOOSE(CONTROL!$C$29, 0.0272, 0)</f>
        <v>22.346399999999999</v>
      </c>
      <c r="C198" s="4">
        <f>21.9559 * CHOOSE(CONTROL!$C$10, $C$13, 100%, $E$13) + CHOOSE(CONTROL!$C$29, 0.0272, 0)</f>
        <v>21.9831</v>
      </c>
      <c r="D198" s="4">
        <f>31.8081 * CHOOSE(CONTROL!$C$10, $C$13, 100%, $E$13) + CHOOSE(CONTROL!$C$29, 0.0021, 0)</f>
        <v>31.810199999999998</v>
      </c>
      <c r="E198" s="4">
        <f>140.828306445971 * CHOOSE(CONTROL!$C$10, $C$13, 100%, $E$13) + CHOOSE(CONTROL!$C$29, 0.0021, 0)</f>
        <v>140.83040644597102</v>
      </c>
    </row>
    <row r="199" spans="1:5" ht="15">
      <c r="A199" s="13">
        <v>47178</v>
      </c>
      <c r="B199" s="4">
        <f>23.6315 * CHOOSE(CONTROL!$C$10, $C$13, 100%, $E$13) + CHOOSE(CONTROL!$C$29, 0.0272, 0)</f>
        <v>23.6587</v>
      </c>
      <c r="C199" s="4">
        <f>23.2682 * CHOOSE(CONTROL!$C$10, $C$13, 100%, $E$13) + CHOOSE(CONTROL!$C$29, 0.0272, 0)</f>
        <v>23.295400000000001</v>
      </c>
      <c r="D199" s="4">
        <f>33.4067 * CHOOSE(CONTROL!$C$10, $C$13, 100%, $E$13) + CHOOSE(CONTROL!$C$29, 0.0021, 0)</f>
        <v>33.408799999999999</v>
      </c>
      <c r="E199" s="4">
        <f>149.405691873446 * CHOOSE(CONTROL!$C$10, $C$13, 100%, $E$13) + CHOOSE(CONTROL!$C$29, 0.0021, 0)</f>
        <v>149.407791873446</v>
      </c>
    </row>
    <row r="200" spans="1:5" ht="15">
      <c r="A200" s="13">
        <v>47209</v>
      </c>
      <c r="B200" s="4">
        <f>24.5639 * CHOOSE(CONTROL!$C$10, $C$13, 100%, $E$13) + CHOOSE(CONTROL!$C$29, 0.0272, 0)</f>
        <v>24.591100000000001</v>
      </c>
      <c r="C200" s="4">
        <f>24.2006 * CHOOSE(CONTROL!$C$10, $C$13, 100%, $E$13) + CHOOSE(CONTROL!$C$29, 0.0272, 0)</f>
        <v>24.227800000000002</v>
      </c>
      <c r="D200" s="4">
        <f>34.3276 * CHOOSE(CONTROL!$C$10, $C$13, 100%, $E$13) + CHOOSE(CONTROL!$C$29, 0.0021, 0)</f>
        <v>34.329699999999995</v>
      </c>
      <c r="E200" s="4">
        <f>155.500038528358 * CHOOSE(CONTROL!$C$10, $C$13, 100%, $E$13) + CHOOSE(CONTROL!$C$29, 0.0021, 0)</f>
        <v>155.50213852835802</v>
      </c>
    </row>
    <row r="201" spans="1:5" ht="15">
      <c r="A201" s="13">
        <v>47239</v>
      </c>
      <c r="B201" s="4">
        <f>25.1336 * CHOOSE(CONTROL!$C$10, $C$13, 100%, $E$13) + CHOOSE(CONTROL!$C$29, 0.0272, 0)</f>
        <v>25.160800000000002</v>
      </c>
      <c r="C201" s="4">
        <f>24.7703 * CHOOSE(CONTROL!$C$10, $C$13, 100%, $E$13) + CHOOSE(CONTROL!$C$29, 0.0272, 0)</f>
        <v>24.797499999999999</v>
      </c>
      <c r="D201" s="4">
        <f>33.9637 * CHOOSE(CONTROL!$C$10, $C$13, 100%, $E$13) + CHOOSE(CONTROL!$C$29, 0.0021, 0)</f>
        <v>33.965800000000002</v>
      </c>
      <c r="E201" s="4">
        <f>159.223538273404 * CHOOSE(CONTROL!$C$10, $C$13, 100%, $E$13) + CHOOSE(CONTROL!$C$29, 0.0021, 0)</f>
        <v>159.225638273404</v>
      </c>
    </row>
    <row r="202" spans="1:5" ht="15">
      <c r="A202" s="13">
        <v>47270</v>
      </c>
      <c r="B202" s="4">
        <f>25.2106 * CHOOSE(CONTROL!$C$10, $C$13, 100%, $E$13) + CHOOSE(CONTROL!$C$29, 0.0272, 0)</f>
        <v>25.2378</v>
      </c>
      <c r="C202" s="4">
        <f>24.8474 * CHOOSE(CONTROL!$C$10, $C$13, 100%, $E$13) + CHOOSE(CONTROL!$C$29, 0.0272, 0)</f>
        <v>24.874600000000001</v>
      </c>
      <c r="D202" s="4">
        <f>34.2601 * CHOOSE(CONTROL!$C$10, $C$13, 100%, $E$13) + CHOOSE(CONTROL!$C$29, 0.0021, 0)</f>
        <v>34.2622</v>
      </c>
      <c r="E202" s="4">
        <f>159.727343241751 * CHOOSE(CONTROL!$C$10, $C$13, 100%, $E$13) + CHOOSE(CONTROL!$C$29, 0.0021, 0)</f>
        <v>159.729443241751</v>
      </c>
    </row>
    <row r="203" spans="1:5" ht="15">
      <c r="A203" s="13">
        <v>47300</v>
      </c>
      <c r="B203" s="4">
        <f>25.2029 * CHOOSE(CONTROL!$C$10, $C$13, 100%, $E$13) + CHOOSE(CONTROL!$C$29, 0.0272, 0)</f>
        <v>25.2301</v>
      </c>
      <c r="C203" s="4">
        <f>24.8396 * CHOOSE(CONTROL!$C$10, $C$13, 100%, $E$13) + CHOOSE(CONTROL!$C$29, 0.0272, 0)</f>
        <v>24.866800000000001</v>
      </c>
      <c r="D203" s="4">
        <f>34.7948 * CHOOSE(CONTROL!$C$10, $C$13, 100%, $E$13) + CHOOSE(CONTROL!$C$29, 0.0021, 0)</f>
        <v>34.796900000000001</v>
      </c>
      <c r="E203" s="4">
        <f>159.676539379396 * CHOOSE(CONTROL!$C$10, $C$13, 100%, $E$13) + CHOOSE(CONTROL!$C$29, 0.0021, 0)</f>
        <v>159.678639379396</v>
      </c>
    </row>
    <row r="204" spans="1:5" ht="15">
      <c r="A204" s="13">
        <v>47331</v>
      </c>
      <c r="B204" s="4">
        <f>25.7878 * CHOOSE(CONTROL!$C$10, $C$13, 100%, $E$13) + CHOOSE(CONTROL!$C$29, 0.0272, 0)</f>
        <v>25.815000000000001</v>
      </c>
      <c r="C204" s="4">
        <f>25.4245 * CHOOSE(CONTROL!$C$10, $C$13, 100%, $E$13) + CHOOSE(CONTROL!$C$29, 0.0272, 0)</f>
        <v>25.451699999999999</v>
      </c>
      <c r="D204" s="4">
        <f>34.4417 * CHOOSE(CONTROL!$C$10, $C$13, 100%, $E$13) + CHOOSE(CONTROL!$C$29, 0.0021, 0)</f>
        <v>34.443799999999996</v>
      </c>
      <c r="E204" s="4">
        <f>163.499530021553 * CHOOSE(CONTROL!$C$10, $C$13, 100%, $E$13) + CHOOSE(CONTROL!$C$29, 0.0021, 0)</f>
        <v>163.50163002155301</v>
      </c>
    </row>
    <row r="205" spans="1:5" ht="15">
      <c r="A205" s="13">
        <v>47362</v>
      </c>
      <c r="B205" s="4">
        <f>24.7909 * CHOOSE(CONTROL!$C$10, $C$13, 100%, $E$13) + CHOOSE(CONTROL!$C$29, 0.0272, 0)</f>
        <v>24.818100000000001</v>
      </c>
      <c r="C205" s="4">
        <f>24.4276 * CHOOSE(CONTROL!$C$10, $C$13, 100%, $E$13) + CHOOSE(CONTROL!$C$29, 0.0272, 0)</f>
        <v>24.454800000000002</v>
      </c>
      <c r="D205" s="4">
        <f>34.2748 * CHOOSE(CONTROL!$C$10, $C$13, 100%, $E$13) + CHOOSE(CONTROL!$C$29, 0.0021, 0)</f>
        <v>34.276899999999998</v>
      </c>
      <c r="E205" s="4">
        <f>156.983934674621 * CHOOSE(CONTROL!$C$10, $C$13, 100%, $E$13) + CHOOSE(CONTROL!$C$29, 0.0021, 0)</f>
        <v>156.98603467462101</v>
      </c>
    </row>
    <row r="206" spans="1:5" ht="15">
      <c r="A206" s="13">
        <v>47392</v>
      </c>
      <c r="B206" s="4">
        <f>23.9929 * CHOOSE(CONTROL!$C$10, $C$13, 100%, $E$13) + CHOOSE(CONTROL!$C$29, 0.0272, 0)</f>
        <v>24.020099999999999</v>
      </c>
      <c r="C206" s="4">
        <f>23.6296 * CHOOSE(CONTROL!$C$10, $C$13, 100%, $E$13) + CHOOSE(CONTROL!$C$29, 0.0272, 0)</f>
        <v>23.6568</v>
      </c>
      <c r="D206" s="4">
        <f>33.8281 * CHOOSE(CONTROL!$C$10, $C$13, 100%, $E$13) + CHOOSE(CONTROL!$C$29, 0.0021, 0)</f>
        <v>33.830199999999998</v>
      </c>
      <c r="E206" s="4">
        <f>151.768071472919 * CHOOSE(CONTROL!$C$10, $C$13, 100%, $E$13) + CHOOSE(CONTROL!$C$29, 0.0021, 0)</f>
        <v>151.770171472919</v>
      </c>
    </row>
    <row r="207" spans="1:5" ht="15">
      <c r="A207" s="13">
        <v>47423</v>
      </c>
      <c r="B207" s="4">
        <f>23.479 * CHOOSE(CONTROL!$C$10, $C$13, 100%, $E$13) + CHOOSE(CONTROL!$C$29, 0.0272, 0)</f>
        <v>23.5062</v>
      </c>
      <c r="C207" s="4">
        <f>23.1157 * CHOOSE(CONTROL!$C$10, $C$13, 100%, $E$13) + CHOOSE(CONTROL!$C$29, 0.0272, 0)</f>
        <v>23.142900000000001</v>
      </c>
      <c r="D207" s="4">
        <f>33.6745 * CHOOSE(CONTROL!$C$10, $C$13, 100%, $E$13) + CHOOSE(CONTROL!$C$29, 0.0021, 0)</f>
        <v>33.676600000000001</v>
      </c>
      <c r="E207" s="4">
        <f>148.408666074744 * CHOOSE(CONTROL!$C$10, $C$13, 100%, $E$13) + CHOOSE(CONTROL!$C$29, 0.0021, 0)</f>
        <v>148.410766074744</v>
      </c>
    </row>
    <row r="208" spans="1:5" ht="15">
      <c r="A208" s="13">
        <v>47453</v>
      </c>
      <c r="B208" s="4">
        <f>23.1234 * CHOOSE(CONTROL!$C$10, $C$13, 100%, $E$13) + CHOOSE(CONTROL!$C$29, 0.0272, 0)</f>
        <v>23.150600000000001</v>
      </c>
      <c r="C208" s="4">
        <f>22.7601 * CHOOSE(CONTROL!$C$10, $C$13, 100%, $E$13) + CHOOSE(CONTROL!$C$29, 0.0272, 0)</f>
        <v>22.787300000000002</v>
      </c>
      <c r="D208" s="4">
        <f>32.5437 * CHOOSE(CONTROL!$C$10, $C$13, 100%, $E$13) + CHOOSE(CONTROL!$C$29, 0.0021, 0)</f>
        <v>32.5458</v>
      </c>
      <c r="E208" s="4">
        <f>146.084389372037 * CHOOSE(CONTROL!$C$10, $C$13, 100%, $E$13) + CHOOSE(CONTROL!$C$29, 0.0021, 0)</f>
        <v>146.08648937203702</v>
      </c>
    </row>
    <row r="209" spans="1:5" ht="15">
      <c r="A209" s="13">
        <v>47484</v>
      </c>
      <c r="B209" s="4">
        <f>22.6995 * CHOOSE(CONTROL!$C$10, $C$13, 100%, $E$13) + CHOOSE(CONTROL!$C$29, 0.0272, 0)</f>
        <v>22.726700000000001</v>
      </c>
      <c r="C209" s="4">
        <f>22.3362 * CHOOSE(CONTROL!$C$10, $C$13, 100%, $E$13) + CHOOSE(CONTROL!$C$29, 0.0272, 0)</f>
        <v>22.363400000000002</v>
      </c>
      <c r="D209" s="4">
        <f>31.7555 * CHOOSE(CONTROL!$C$10, $C$13, 100%, $E$13) + CHOOSE(CONTROL!$C$29, 0.0021, 0)</f>
        <v>31.7576</v>
      </c>
      <c r="E209" s="4">
        <f>143.198715920518 * CHOOSE(CONTROL!$C$10, $C$13, 100%, $E$13) + CHOOSE(CONTROL!$C$29, 0.0021, 0)</f>
        <v>143.20081592051801</v>
      </c>
    </row>
    <row r="210" spans="1:5" ht="15">
      <c r="A210" s="13">
        <v>47515</v>
      </c>
      <c r="B210" s="4">
        <f>23.2201 * CHOOSE(CONTROL!$C$10, $C$13, 100%, $E$13) + CHOOSE(CONTROL!$C$29, 0.0272, 0)</f>
        <v>23.247299999999999</v>
      </c>
      <c r="C210" s="4">
        <f>22.8568 * CHOOSE(CONTROL!$C$10, $C$13, 100%, $E$13) + CHOOSE(CONTROL!$C$29, 0.0272, 0)</f>
        <v>22.884</v>
      </c>
      <c r="D210" s="4">
        <f>32.811 * CHOOSE(CONTROL!$C$10, $C$13, 100%, $E$13) + CHOOSE(CONTROL!$C$29, 0.0021, 0)</f>
        <v>32.813099999999999</v>
      </c>
      <c r="E210" s="4">
        <f>146.598817769643 * CHOOSE(CONTROL!$C$10, $C$13, 100%, $E$13) + CHOOSE(CONTROL!$C$29, 0.0021, 0)</f>
        <v>146.60091776964302</v>
      </c>
    </row>
    <row r="211" spans="1:5" ht="15">
      <c r="A211" s="13">
        <v>47543</v>
      </c>
      <c r="B211" s="4">
        <f>24.5873 * CHOOSE(CONTROL!$C$10, $C$13, 100%, $E$13) + CHOOSE(CONTROL!$C$29, 0.0272, 0)</f>
        <v>24.6145</v>
      </c>
      <c r="C211" s="4">
        <f>24.224 * CHOOSE(CONTROL!$C$10, $C$13, 100%, $E$13) + CHOOSE(CONTROL!$C$29, 0.0272, 0)</f>
        <v>24.251200000000001</v>
      </c>
      <c r="D211" s="4">
        <f>34.4631 * CHOOSE(CONTROL!$C$10, $C$13, 100%, $E$13) + CHOOSE(CONTROL!$C$29, 0.0021, 0)</f>
        <v>34.465199999999996</v>
      </c>
      <c r="E211" s="4">
        <f>155.52766591783 * CHOOSE(CONTROL!$C$10, $C$13, 100%, $E$13) + CHOOSE(CONTROL!$C$29, 0.0021, 0)</f>
        <v>155.52976591783002</v>
      </c>
    </row>
    <row r="212" spans="1:5" ht="15">
      <c r="A212" s="13">
        <v>47574</v>
      </c>
      <c r="B212" s="4">
        <f>25.5586 * CHOOSE(CONTROL!$C$10, $C$13, 100%, $E$13) + CHOOSE(CONTROL!$C$29, 0.0272, 0)</f>
        <v>25.585799999999999</v>
      </c>
      <c r="C212" s="4">
        <f>25.1954 * CHOOSE(CONTROL!$C$10, $C$13, 100%, $E$13) + CHOOSE(CONTROL!$C$29, 0.0272, 0)</f>
        <v>25.2226</v>
      </c>
      <c r="D212" s="4">
        <f>35.4148 * CHOOSE(CONTROL!$C$10, $C$13, 100%, $E$13) + CHOOSE(CONTROL!$C$29, 0.0021, 0)</f>
        <v>35.416899999999998</v>
      </c>
      <c r="E212" s="4">
        <f>161.871731519664 * CHOOSE(CONTROL!$C$10, $C$13, 100%, $E$13) + CHOOSE(CONTROL!$C$29, 0.0021, 0)</f>
        <v>161.87383151966401</v>
      </c>
    </row>
    <row r="213" spans="1:5" ht="15">
      <c r="A213" s="13">
        <v>47604</v>
      </c>
      <c r="B213" s="4">
        <f>26.1521 * CHOOSE(CONTROL!$C$10, $C$13, 100%, $E$13) + CHOOSE(CONTROL!$C$29, 0.0272, 0)</f>
        <v>26.179300000000001</v>
      </c>
      <c r="C213" s="4">
        <f>25.7888 * CHOOSE(CONTROL!$C$10, $C$13, 100%, $E$13) + CHOOSE(CONTROL!$C$29, 0.0272, 0)</f>
        <v>25.815999999999999</v>
      </c>
      <c r="D213" s="4">
        <f>35.0388 * CHOOSE(CONTROL!$C$10, $C$13, 100%, $E$13) + CHOOSE(CONTROL!$C$29, 0.0021, 0)</f>
        <v>35.040900000000001</v>
      </c>
      <c r="E213" s="4">
        <f>165.747803556352 * CHOOSE(CONTROL!$C$10, $C$13, 100%, $E$13) + CHOOSE(CONTROL!$C$29, 0.0021, 0)</f>
        <v>165.74990355635202</v>
      </c>
    </row>
    <row r="214" spans="1:5" ht="15">
      <c r="A214" s="13">
        <v>47635</v>
      </c>
      <c r="B214" s="4">
        <f>26.2324 * CHOOSE(CONTROL!$C$10, $C$13, 100%, $E$13) + CHOOSE(CONTROL!$C$29, 0.0272, 0)</f>
        <v>26.259599999999999</v>
      </c>
      <c r="C214" s="4">
        <f>25.8691 * CHOOSE(CONTROL!$C$10, $C$13, 100%, $E$13) + CHOOSE(CONTROL!$C$29, 0.0272, 0)</f>
        <v>25.8963</v>
      </c>
      <c r="D214" s="4">
        <f>35.3451 * CHOOSE(CONTROL!$C$10, $C$13, 100%, $E$13) + CHOOSE(CONTROL!$C$29, 0.0021, 0)</f>
        <v>35.347200000000001</v>
      </c>
      <c r="E214" s="4">
        <f>166.272252188946 * CHOOSE(CONTROL!$C$10, $C$13, 100%, $E$13) + CHOOSE(CONTROL!$C$29, 0.0021, 0)</f>
        <v>166.27435218894601</v>
      </c>
    </row>
    <row r="215" spans="1:5" ht="15">
      <c r="A215" s="13">
        <v>47665</v>
      </c>
      <c r="B215" s="4">
        <f>26.2243 * CHOOSE(CONTROL!$C$10, $C$13, 100%, $E$13) + CHOOSE(CONTROL!$C$29, 0.0272, 0)</f>
        <v>26.2515</v>
      </c>
      <c r="C215" s="4">
        <f>25.861 * CHOOSE(CONTROL!$C$10, $C$13, 100%, $E$13) + CHOOSE(CONTROL!$C$29, 0.0272, 0)</f>
        <v>25.888200000000001</v>
      </c>
      <c r="D215" s="4">
        <f>35.8977 * CHOOSE(CONTROL!$C$10, $C$13, 100%, $E$13) + CHOOSE(CONTROL!$C$29, 0.0021, 0)</f>
        <v>35.899799999999999</v>
      </c>
      <c r="E215" s="4">
        <f>166.21936661255 * CHOOSE(CONTROL!$C$10, $C$13, 100%, $E$13) + CHOOSE(CONTROL!$C$29, 0.0021, 0)</f>
        <v>166.22146661255002</v>
      </c>
    </row>
    <row r="216" spans="1:5" ht="15">
      <c r="A216" s="13">
        <v>47696</v>
      </c>
      <c r="B216" s="4">
        <f>26.8337 * CHOOSE(CONTROL!$C$10, $C$13, 100%, $E$13) + CHOOSE(CONTROL!$C$29, 0.0272, 0)</f>
        <v>26.860900000000001</v>
      </c>
      <c r="C216" s="4">
        <f>26.4704 * CHOOSE(CONTROL!$C$10, $C$13, 100%, $E$13) + CHOOSE(CONTROL!$C$29, 0.0272, 0)</f>
        <v>26.497600000000002</v>
      </c>
      <c r="D216" s="4">
        <f>35.5327 * CHOOSE(CONTROL!$C$10, $C$13, 100%, $E$13) + CHOOSE(CONTROL!$C$29, 0.0021, 0)</f>
        <v>35.534799999999997</v>
      </c>
      <c r="E216" s="4">
        <f>170.199006236347 * CHOOSE(CONTROL!$C$10, $C$13, 100%, $E$13) + CHOOSE(CONTROL!$C$29, 0.0021, 0)</f>
        <v>170.20110623634702</v>
      </c>
    </row>
    <row r="217" spans="1:5" ht="15">
      <c r="A217" s="13">
        <v>47727</v>
      </c>
      <c r="B217" s="4">
        <f>25.7952 * CHOOSE(CONTROL!$C$10, $C$13, 100%, $E$13) + CHOOSE(CONTROL!$C$29, 0.0272, 0)</f>
        <v>25.822400000000002</v>
      </c>
      <c r="C217" s="4">
        <f>25.4319 * CHOOSE(CONTROL!$C$10, $C$13, 100%, $E$13) + CHOOSE(CONTROL!$C$29, 0.0272, 0)</f>
        <v>25.459099999999999</v>
      </c>
      <c r="D217" s="4">
        <f>35.3603 * CHOOSE(CONTROL!$C$10, $C$13, 100%, $E$13) + CHOOSE(CONTROL!$C$29, 0.0021, 0)</f>
        <v>35.362400000000001</v>
      </c>
      <c r="E217" s="4">
        <f>163.416431063563 * CHOOSE(CONTROL!$C$10, $C$13, 100%, $E$13) + CHOOSE(CONTROL!$C$29, 0.0021, 0)</f>
        <v>163.41853106356302</v>
      </c>
    </row>
    <row r="218" spans="1:5" ht="15">
      <c r="A218" s="13">
        <v>47757</v>
      </c>
      <c r="B218" s="4">
        <f>24.9638 * CHOOSE(CONTROL!$C$10, $C$13, 100%, $E$13) + CHOOSE(CONTROL!$C$29, 0.0272, 0)</f>
        <v>24.991</v>
      </c>
      <c r="C218" s="4">
        <f>24.6005 * CHOOSE(CONTROL!$C$10, $C$13, 100%, $E$13) + CHOOSE(CONTROL!$C$29, 0.0272, 0)</f>
        <v>24.627700000000001</v>
      </c>
      <c r="D218" s="4">
        <f>34.8986 * CHOOSE(CONTROL!$C$10, $C$13, 100%, $E$13) + CHOOSE(CONTROL!$C$29, 0.0021, 0)</f>
        <v>34.900700000000001</v>
      </c>
      <c r="E218" s="4">
        <f>157.986845220243 * CHOOSE(CONTROL!$C$10, $C$13, 100%, $E$13) + CHOOSE(CONTROL!$C$29, 0.0021, 0)</f>
        <v>157.98894522024301</v>
      </c>
    </row>
    <row r="219" spans="1:5" ht="15">
      <c r="A219" s="13">
        <v>47788</v>
      </c>
      <c r="B219" s="4">
        <f>24.4283 * CHOOSE(CONTROL!$C$10, $C$13, 100%, $E$13) + CHOOSE(CONTROL!$C$29, 0.0272, 0)</f>
        <v>24.455500000000001</v>
      </c>
      <c r="C219" s="4">
        <f>24.0651 * CHOOSE(CONTROL!$C$10, $C$13, 100%, $E$13) + CHOOSE(CONTROL!$C$29, 0.0272, 0)</f>
        <v>24.092300000000002</v>
      </c>
      <c r="D219" s="4">
        <f>34.7398 * CHOOSE(CONTROL!$C$10, $C$13, 100%, $E$13) + CHOOSE(CONTROL!$C$29, 0.0021, 0)</f>
        <v>34.741900000000001</v>
      </c>
      <c r="E219" s="4">
        <f>154.489786481059 * CHOOSE(CONTROL!$C$10, $C$13, 100%, $E$13) + CHOOSE(CONTROL!$C$29, 0.0021, 0)</f>
        <v>154.49188648105903</v>
      </c>
    </row>
    <row r="220" spans="1:5" ht="15">
      <c r="A220" s="13">
        <v>47818</v>
      </c>
      <c r="B220" s="4">
        <f>24.0579 * CHOOSE(CONTROL!$C$10, $C$13, 100%, $E$13) + CHOOSE(CONTROL!$C$29, 0.0272, 0)</f>
        <v>24.085100000000001</v>
      </c>
      <c r="C220" s="4">
        <f>23.6946 * CHOOSE(CONTROL!$C$10, $C$13, 100%, $E$13) + CHOOSE(CONTROL!$C$29, 0.0272, 0)</f>
        <v>23.721800000000002</v>
      </c>
      <c r="D220" s="4">
        <f>33.5712 * CHOOSE(CONTROL!$C$10, $C$13, 100%, $E$13) + CHOOSE(CONTROL!$C$29, 0.0021, 0)</f>
        <v>33.573299999999996</v>
      </c>
      <c r="E220" s="4">
        <f>152.070271360943 * CHOOSE(CONTROL!$C$10, $C$13, 100%, $E$13) + CHOOSE(CONTROL!$C$29, 0.0021, 0)</f>
        <v>152.07237136094301</v>
      </c>
    </row>
    <row r="221" spans="1:5" ht="15">
      <c r="A221" s="13">
        <v>47849</v>
      </c>
      <c r="B221" s="4">
        <f>23.0869 * CHOOSE(CONTROL!$C$10, $C$13, 100%, $E$13) + CHOOSE(CONTROL!$C$29, 0.0272, 0)</f>
        <v>23.114100000000001</v>
      </c>
      <c r="C221" s="4">
        <f>22.7236 * CHOOSE(CONTROL!$C$10, $C$13, 100%, $E$13) + CHOOSE(CONTROL!$C$29, 0.0272, 0)</f>
        <v>22.750800000000002</v>
      </c>
      <c r="D221" s="4">
        <f>32.2258 * CHOOSE(CONTROL!$C$10, $C$13, 100%, $E$13) + CHOOSE(CONTROL!$C$29, 0.0021, 0)</f>
        <v>32.227899999999998</v>
      </c>
      <c r="E221" s="4">
        <f>145.73592663488 * CHOOSE(CONTROL!$C$10, $C$13, 100%, $E$13) + CHOOSE(CONTROL!$C$29, 0.0021, 0)</f>
        <v>145.73802663488001</v>
      </c>
    </row>
    <row r="222" spans="1:5" ht="15">
      <c r="A222" s="13">
        <v>47880</v>
      </c>
      <c r="B222" s="4">
        <f>23.6167 * CHOOSE(CONTROL!$C$10, $C$13, 100%, $E$13) + CHOOSE(CONTROL!$C$29, 0.0272, 0)</f>
        <v>23.643900000000002</v>
      </c>
      <c r="C222" s="4">
        <f>23.2534 * CHOOSE(CONTROL!$C$10, $C$13, 100%, $E$13) + CHOOSE(CONTROL!$C$29, 0.0272, 0)</f>
        <v>23.2806</v>
      </c>
      <c r="D222" s="4">
        <f>33.2978 * CHOOSE(CONTROL!$C$10, $C$13, 100%, $E$13) + CHOOSE(CONTROL!$C$29, 0.0021, 0)</f>
        <v>33.299900000000001</v>
      </c>
      <c r="E222" s="4">
        <f>149.196271865281 * CHOOSE(CONTROL!$C$10, $C$13, 100%, $E$13) + CHOOSE(CONTROL!$C$29, 0.0021, 0)</f>
        <v>149.19837186528102</v>
      </c>
    </row>
    <row r="223" spans="1:5" ht="15">
      <c r="A223" s="13">
        <v>47908</v>
      </c>
      <c r="B223" s="4">
        <f>25.008 * CHOOSE(CONTROL!$C$10, $C$13, 100%, $E$13) + CHOOSE(CONTROL!$C$29, 0.0272, 0)</f>
        <v>25.0352</v>
      </c>
      <c r="C223" s="4">
        <f>24.6447 * CHOOSE(CONTROL!$C$10, $C$13, 100%, $E$13) + CHOOSE(CONTROL!$C$29, 0.0272, 0)</f>
        <v>24.671900000000001</v>
      </c>
      <c r="D223" s="4">
        <f>34.9759 * CHOOSE(CONTROL!$C$10, $C$13, 100%, $E$13) + CHOOSE(CONTROL!$C$29, 0.0021, 0)</f>
        <v>34.978000000000002</v>
      </c>
      <c r="E223" s="4">
        <f>158.283322334228 * CHOOSE(CONTROL!$C$10, $C$13, 100%, $E$13) + CHOOSE(CONTROL!$C$29, 0.0021, 0)</f>
        <v>158.285422334228</v>
      </c>
    </row>
    <row r="224" spans="1:5" ht="15">
      <c r="A224" s="13">
        <v>47939</v>
      </c>
      <c r="B224" s="4">
        <f>25.9965 * CHOOSE(CONTROL!$C$10, $C$13, 100%, $E$13) + CHOOSE(CONTROL!$C$29, 0.0272, 0)</f>
        <v>26.023700000000002</v>
      </c>
      <c r="C224" s="4">
        <f>25.6333 * CHOOSE(CONTROL!$C$10, $C$13, 100%, $E$13) + CHOOSE(CONTROL!$C$29, 0.0272, 0)</f>
        <v>25.660499999999999</v>
      </c>
      <c r="D224" s="4">
        <f>35.9426 * CHOOSE(CONTROL!$C$10, $C$13, 100%, $E$13) + CHOOSE(CONTROL!$C$29, 0.0021, 0)</f>
        <v>35.944699999999997</v>
      </c>
      <c r="E224" s="4">
        <f>164.739792793286 * CHOOSE(CONTROL!$C$10, $C$13, 100%, $E$13) + CHOOSE(CONTROL!$C$29, 0.0021, 0)</f>
        <v>164.74189279328601</v>
      </c>
    </row>
    <row r="225" spans="1:5" ht="15">
      <c r="A225" s="13">
        <v>47969</v>
      </c>
      <c r="B225" s="4">
        <f>26.6005 * CHOOSE(CONTROL!$C$10, $C$13, 100%, $E$13) + CHOOSE(CONTROL!$C$29, 0.0272, 0)</f>
        <v>26.627700000000001</v>
      </c>
      <c r="C225" s="4">
        <f>26.2372 * CHOOSE(CONTROL!$C$10, $C$13, 100%, $E$13) + CHOOSE(CONTROL!$C$29, 0.0272, 0)</f>
        <v>26.264400000000002</v>
      </c>
      <c r="D225" s="4">
        <f>35.5606 * CHOOSE(CONTROL!$C$10, $C$13, 100%, $E$13) + CHOOSE(CONTROL!$C$29, 0.0021, 0)</f>
        <v>35.5627</v>
      </c>
      <c r="E225" s="4">
        <f>168.684541503769 * CHOOSE(CONTROL!$C$10, $C$13, 100%, $E$13) + CHOOSE(CONTROL!$C$29, 0.0021, 0)</f>
        <v>168.68664150376901</v>
      </c>
    </row>
    <row r="226" spans="1:5" ht="15">
      <c r="A226" s="13">
        <v>48000</v>
      </c>
      <c r="B226" s="4">
        <f>26.6822 * CHOOSE(CONTROL!$C$10, $C$13, 100%, $E$13) + CHOOSE(CONTROL!$C$29, 0.0272, 0)</f>
        <v>26.709400000000002</v>
      </c>
      <c r="C226" s="4">
        <f>26.319 * CHOOSE(CONTROL!$C$10, $C$13, 100%, $E$13) + CHOOSE(CONTROL!$C$29, 0.0272, 0)</f>
        <v>26.3462</v>
      </c>
      <c r="D226" s="4">
        <f>35.8717 * CHOOSE(CONTROL!$C$10, $C$13, 100%, $E$13) + CHOOSE(CONTROL!$C$29, 0.0021, 0)</f>
        <v>35.873799999999996</v>
      </c>
      <c r="E226" s="4">
        <f>169.218282375341 * CHOOSE(CONTROL!$C$10, $C$13, 100%, $E$13) + CHOOSE(CONTROL!$C$29, 0.0021, 0)</f>
        <v>169.22038237534102</v>
      </c>
    </row>
    <row r="227" spans="1:5" ht="15">
      <c r="A227" s="13">
        <v>48030</v>
      </c>
      <c r="B227" s="4">
        <f>26.674 * CHOOSE(CONTROL!$C$10, $C$13, 100%, $E$13) + CHOOSE(CONTROL!$C$29, 0.0272, 0)</f>
        <v>26.7012</v>
      </c>
      <c r="C227" s="4">
        <f>26.3107 * CHOOSE(CONTROL!$C$10, $C$13, 100%, $E$13) + CHOOSE(CONTROL!$C$29, 0.0272, 0)</f>
        <v>26.337900000000001</v>
      </c>
      <c r="D227" s="4">
        <f>36.4331 * CHOOSE(CONTROL!$C$10, $C$13, 100%, $E$13) + CHOOSE(CONTROL!$C$29, 0.0021, 0)</f>
        <v>36.435200000000002</v>
      </c>
      <c r="E227" s="4">
        <f>169.164459766443 * CHOOSE(CONTROL!$C$10, $C$13, 100%, $E$13) + CHOOSE(CONTROL!$C$29, 0.0021, 0)</f>
        <v>169.16655976644302</v>
      </c>
    </row>
    <row r="228" spans="1:5" ht="15">
      <c r="A228" s="13">
        <v>48061</v>
      </c>
      <c r="B228" s="4">
        <f>27.2941 * CHOOSE(CONTROL!$C$10, $C$13, 100%, $E$13) + CHOOSE(CONTROL!$C$29, 0.0272, 0)</f>
        <v>27.321300000000001</v>
      </c>
      <c r="C228" s="4">
        <f>26.9308 * CHOOSE(CONTROL!$C$10, $C$13, 100%, $E$13) + CHOOSE(CONTROL!$C$29, 0.0272, 0)</f>
        <v>26.958000000000002</v>
      </c>
      <c r="D228" s="4">
        <f>36.0624 * CHOOSE(CONTROL!$C$10, $C$13, 100%, $E$13) + CHOOSE(CONTROL!$C$29, 0.0021, 0)</f>
        <v>36.064499999999995</v>
      </c>
      <c r="E228" s="4">
        <f>173.214611086018 * CHOOSE(CONTROL!$C$10, $C$13, 100%, $E$13) + CHOOSE(CONTROL!$C$29, 0.0021, 0)</f>
        <v>173.21671108601802</v>
      </c>
    </row>
    <row r="229" spans="1:5" ht="15">
      <c r="A229" s="13">
        <v>48092</v>
      </c>
      <c r="B229" s="4">
        <f>26.2372 * CHOOSE(CONTROL!$C$10, $C$13, 100%, $E$13) + CHOOSE(CONTROL!$C$29, 0.0272, 0)</f>
        <v>26.264400000000002</v>
      </c>
      <c r="C229" s="4">
        <f>25.874 * CHOOSE(CONTROL!$C$10, $C$13, 100%, $E$13) + CHOOSE(CONTROL!$C$29, 0.0272, 0)</f>
        <v>25.901199999999999</v>
      </c>
      <c r="D229" s="4">
        <f>35.8872 * CHOOSE(CONTROL!$C$10, $C$13, 100%, $E$13) + CHOOSE(CONTROL!$C$29, 0.0021, 0)</f>
        <v>35.889299999999999</v>
      </c>
      <c r="E229" s="4">
        <f>166.311861494848 * CHOOSE(CONTROL!$C$10, $C$13, 100%, $E$13) + CHOOSE(CONTROL!$C$29, 0.0021, 0)</f>
        <v>166.313961494848</v>
      </c>
    </row>
    <row r="230" spans="1:5" ht="15">
      <c r="A230" s="13">
        <v>48122</v>
      </c>
      <c r="B230" s="4">
        <f>25.3912 * CHOOSE(CONTROL!$C$10, $C$13, 100%, $E$13) + CHOOSE(CONTROL!$C$29, 0.0272, 0)</f>
        <v>25.418400000000002</v>
      </c>
      <c r="C230" s="4">
        <f>25.0279 * CHOOSE(CONTROL!$C$10, $C$13, 100%, $E$13) + CHOOSE(CONTROL!$C$29, 0.0272, 0)</f>
        <v>25.055099999999999</v>
      </c>
      <c r="D230" s="4">
        <f>35.4182 * CHOOSE(CONTROL!$C$10, $C$13, 100%, $E$13) + CHOOSE(CONTROL!$C$29, 0.0021, 0)</f>
        <v>35.420299999999997</v>
      </c>
      <c r="E230" s="4">
        <f>160.786073647986 * CHOOSE(CONTROL!$C$10, $C$13, 100%, $E$13) + CHOOSE(CONTROL!$C$29, 0.0021, 0)</f>
        <v>160.78817364798601</v>
      </c>
    </row>
    <row r="231" spans="1:5" ht="15">
      <c r="A231" s="13">
        <v>48153</v>
      </c>
      <c r="B231" s="4">
        <f>24.8463 * CHOOSE(CONTROL!$C$10, $C$13, 100%, $E$13) + CHOOSE(CONTROL!$C$29, 0.0272, 0)</f>
        <v>24.8735</v>
      </c>
      <c r="C231" s="4">
        <f>24.483 * CHOOSE(CONTROL!$C$10, $C$13, 100%, $E$13) + CHOOSE(CONTROL!$C$29, 0.0272, 0)</f>
        <v>24.510200000000001</v>
      </c>
      <c r="D231" s="4">
        <f>35.257 * CHOOSE(CONTROL!$C$10, $C$13, 100%, $E$13) + CHOOSE(CONTROL!$C$29, 0.0021, 0)</f>
        <v>35.259099999999997</v>
      </c>
      <c r="E231" s="4">
        <f>157.227053634605 * CHOOSE(CONTROL!$C$10, $C$13, 100%, $E$13) + CHOOSE(CONTROL!$C$29, 0.0021, 0)</f>
        <v>157.22915363460501</v>
      </c>
    </row>
    <row r="232" spans="1:5" ht="15">
      <c r="A232" s="13">
        <v>48183</v>
      </c>
      <c r="B232" s="4">
        <f>24.4693 * CHOOSE(CONTROL!$C$10, $C$13, 100%, $E$13) + CHOOSE(CONTROL!$C$29, 0.0272, 0)</f>
        <v>24.496500000000001</v>
      </c>
      <c r="C232" s="4">
        <f>24.106 * CHOOSE(CONTROL!$C$10, $C$13, 100%, $E$13) + CHOOSE(CONTROL!$C$29, 0.0272, 0)</f>
        <v>24.133200000000002</v>
      </c>
      <c r="D232" s="4">
        <f>34.07 * CHOOSE(CONTROL!$C$10, $C$13, 100%, $E$13) + CHOOSE(CONTROL!$C$29, 0.0021, 0)</f>
        <v>34.072099999999999</v>
      </c>
      <c r="E232" s="4">
        <f>154.764669277521 * CHOOSE(CONTROL!$C$10, $C$13, 100%, $E$13) + CHOOSE(CONTROL!$C$29, 0.0021, 0)</f>
        <v>154.76676927752101</v>
      </c>
    </row>
    <row r="233" spans="1:5" ht="15">
      <c r="A233" s="13">
        <v>48214</v>
      </c>
      <c r="B233" s="4">
        <f>23.4811 * CHOOSE(CONTROL!$C$10, $C$13, 100%, $E$13) + CHOOSE(CONTROL!$C$29, 0.0272, 0)</f>
        <v>23.508300000000002</v>
      </c>
      <c r="C233" s="4">
        <f>23.1178 * CHOOSE(CONTROL!$C$10, $C$13, 100%, $E$13) + CHOOSE(CONTROL!$C$29, 0.0272, 0)</f>
        <v>23.145</v>
      </c>
      <c r="D233" s="4">
        <f>32.7034 * CHOOSE(CONTROL!$C$10, $C$13, 100%, $E$13) + CHOOSE(CONTROL!$C$29, 0.0021, 0)</f>
        <v>32.705500000000001</v>
      </c>
      <c r="E233" s="4">
        <f>148.318091929789 * CHOOSE(CONTROL!$C$10, $C$13, 100%, $E$13) + CHOOSE(CONTROL!$C$29, 0.0021, 0)</f>
        <v>148.32019192978902</v>
      </c>
    </row>
    <row r="234" spans="1:5" ht="15">
      <c r="A234" s="13">
        <v>48245</v>
      </c>
      <c r="B234" s="4">
        <f>24.0203 * CHOOSE(CONTROL!$C$10, $C$13, 100%, $E$13) + CHOOSE(CONTROL!$C$29, 0.0272, 0)</f>
        <v>24.047499999999999</v>
      </c>
      <c r="C234" s="4">
        <f>23.657 * CHOOSE(CONTROL!$C$10, $C$13, 100%, $E$13) + CHOOSE(CONTROL!$C$29, 0.0272, 0)</f>
        <v>23.684200000000001</v>
      </c>
      <c r="D234" s="4">
        <f>33.7923 * CHOOSE(CONTROL!$C$10, $C$13, 100%, $E$13) + CHOOSE(CONTROL!$C$29, 0.0021, 0)</f>
        <v>33.794399999999996</v>
      </c>
      <c r="E234" s="4">
        <f>151.839747940371 * CHOOSE(CONTROL!$C$10, $C$13, 100%, $E$13) + CHOOSE(CONTROL!$C$29, 0.0021, 0)</f>
        <v>151.84184794037103</v>
      </c>
    </row>
    <row r="235" spans="1:5" ht="15">
      <c r="A235" s="13">
        <v>48274</v>
      </c>
      <c r="B235" s="4">
        <f>25.4362 * CHOOSE(CONTROL!$C$10, $C$13, 100%, $E$13) + CHOOSE(CONTROL!$C$29, 0.0272, 0)</f>
        <v>25.4634</v>
      </c>
      <c r="C235" s="4">
        <f>25.0729 * CHOOSE(CONTROL!$C$10, $C$13, 100%, $E$13) + CHOOSE(CONTROL!$C$29, 0.0272, 0)</f>
        <v>25.100100000000001</v>
      </c>
      <c r="D235" s="4">
        <f>35.4968 * CHOOSE(CONTROL!$C$10, $C$13, 100%, $E$13) + CHOOSE(CONTROL!$C$29, 0.0021, 0)</f>
        <v>35.498899999999999</v>
      </c>
      <c r="E235" s="4">
        <f>161.087803776325 * CHOOSE(CONTROL!$C$10, $C$13, 100%, $E$13) + CHOOSE(CONTROL!$C$29, 0.0021, 0)</f>
        <v>161.089903776325</v>
      </c>
    </row>
    <row r="236" spans="1:5" ht="15">
      <c r="A236" s="13">
        <v>48305</v>
      </c>
      <c r="B236" s="4">
        <f>26.4422 * CHOOSE(CONTROL!$C$10, $C$13, 100%, $E$13) + CHOOSE(CONTROL!$C$29, 0.0272, 0)</f>
        <v>26.4694</v>
      </c>
      <c r="C236" s="4">
        <f>26.0789 * CHOOSE(CONTROL!$C$10, $C$13, 100%, $E$13) + CHOOSE(CONTROL!$C$29, 0.0272, 0)</f>
        <v>26.106100000000001</v>
      </c>
      <c r="D236" s="4">
        <f>36.4787 * CHOOSE(CONTROL!$C$10, $C$13, 100%, $E$13) + CHOOSE(CONTROL!$C$29, 0.0021, 0)</f>
        <v>36.480800000000002</v>
      </c>
      <c r="E236" s="4">
        <f>167.65867069432 * CHOOSE(CONTROL!$C$10, $C$13, 100%, $E$13) + CHOOSE(CONTROL!$C$29, 0.0021, 0)</f>
        <v>167.66077069432001</v>
      </c>
    </row>
    <row r="237" spans="1:5" ht="15">
      <c r="A237" s="13">
        <v>48335</v>
      </c>
      <c r="B237" s="4">
        <f>27.0568 * CHOOSE(CONTROL!$C$10, $C$13, 100%, $E$13) + CHOOSE(CONTROL!$C$29, 0.0272, 0)</f>
        <v>27.084</v>
      </c>
      <c r="C237" s="4">
        <f>26.6936 * CHOOSE(CONTROL!$C$10, $C$13, 100%, $E$13) + CHOOSE(CONTROL!$C$29, 0.0272, 0)</f>
        <v>26.720800000000001</v>
      </c>
      <c r="D237" s="4">
        <f>36.0907 * CHOOSE(CONTROL!$C$10, $C$13, 100%, $E$13) + CHOOSE(CONTROL!$C$29, 0.0021, 0)</f>
        <v>36.092799999999997</v>
      </c>
      <c r="E237" s="4">
        <f>171.673312899513 * CHOOSE(CONTROL!$C$10, $C$13, 100%, $E$13) + CHOOSE(CONTROL!$C$29, 0.0021, 0)</f>
        <v>171.67541289951302</v>
      </c>
    </row>
    <row r="238" spans="1:5" ht="15">
      <c r="A238" s="13">
        <v>48366</v>
      </c>
      <c r="B238" s="4">
        <f>27.14 * CHOOSE(CONTROL!$C$10, $C$13, 100%, $E$13) + CHOOSE(CONTROL!$C$29, 0.0272, 0)</f>
        <v>27.167200000000001</v>
      </c>
      <c r="C238" s="4">
        <f>26.7767 * CHOOSE(CONTROL!$C$10, $C$13, 100%, $E$13) + CHOOSE(CONTROL!$C$29, 0.0272, 0)</f>
        <v>26.803900000000002</v>
      </c>
      <c r="D238" s="4">
        <f>36.4067 * CHOOSE(CONTROL!$C$10, $C$13, 100%, $E$13) + CHOOSE(CONTROL!$C$29, 0.0021, 0)</f>
        <v>36.408799999999999</v>
      </c>
      <c r="E238" s="4">
        <f>172.216510650983 * CHOOSE(CONTROL!$C$10, $C$13, 100%, $E$13) + CHOOSE(CONTROL!$C$29, 0.0021, 0)</f>
        <v>172.21861065098301</v>
      </c>
    </row>
    <row r="239" spans="1:5" ht="15">
      <c r="A239" s="13">
        <v>48396</v>
      </c>
      <c r="B239" s="4">
        <f>27.1316 * CHOOSE(CONTROL!$C$10, $C$13, 100%, $E$13) + CHOOSE(CONTROL!$C$29, 0.0272, 0)</f>
        <v>27.158799999999999</v>
      </c>
      <c r="C239" s="4">
        <f>26.7683 * CHOOSE(CONTROL!$C$10, $C$13, 100%, $E$13) + CHOOSE(CONTROL!$C$29, 0.0272, 0)</f>
        <v>26.795500000000001</v>
      </c>
      <c r="D239" s="4">
        <f>36.9769 * CHOOSE(CONTROL!$C$10, $C$13, 100%, $E$13) + CHOOSE(CONTROL!$C$29, 0.0021, 0)</f>
        <v>36.978999999999999</v>
      </c>
      <c r="E239" s="4">
        <f>172.161734407138 * CHOOSE(CONTROL!$C$10, $C$13, 100%, $E$13) + CHOOSE(CONTROL!$C$29, 0.0021, 0)</f>
        <v>172.16383440713801</v>
      </c>
    </row>
    <row r="240" spans="1:5" ht="15">
      <c r="A240" s="13">
        <v>48427</v>
      </c>
      <c r="B240" s="4">
        <f>27.7627 * CHOOSE(CONTROL!$C$10, $C$13, 100%, $E$13) + CHOOSE(CONTROL!$C$29, 0.0272, 0)</f>
        <v>27.789899999999999</v>
      </c>
      <c r="C240" s="4">
        <f>27.3994 * CHOOSE(CONTROL!$C$10, $C$13, 100%, $E$13) + CHOOSE(CONTROL!$C$29, 0.0272, 0)</f>
        <v>27.426600000000001</v>
      </c>
      <c r="D240" s="4">
        <f>36.6003 * CHOOSE(CONTROL!$C$10, $C$13, 100%, $E$13) + CHOOSE(CONTROL!$C$29, 0.0021, 0)</f>
        <v>36.602399999999996</v>
      </c>
      <c r="E240" s="4">
        <f>176.283646756529 * CHOOSE(CONTROL!$C$10, $C$13, 100%, $E$13) + CHOOSE(CONTROL!$C$29, 0.0021, 0)</f>
        <v>176.28574675652902</v>
      </c>
    </row>
    <row r="241" spans="1:5" ht="15">
      <c r="A241" s="13">
        <v>48458</v>
      </c>
      <c r="B241" s="4">
        <f>26.6871 * CHOOSE(CONTROL!$C$10, $C$13, 100%, $E$13) + CHOOSE(CONTROL!$C$29, 0.0272, 0)</f>
        <v>26.714300000000001</v>
      </c>
      <c r="C241" s="4">
        <f>26.3239 * CHOOSE(CONTROL!$C$10, $C$13, 100%, $E$13) + CHOOSE(CONTROL!$C$29, 0.0272, 0)</f>
        <v>26.351099999999999</v>
      </c>
      <c r="D241" s="4">
        <f>36.4224 * CHOOSE(CONTROL!$C$10, $C$13, 100%, $E$13) + CHOOSE(CONTROL!$C$29, 0.0021, 0)</f>
        <v>36.424500000000002</v>
      </c>
      <c r="E241" s="4">
        <f>169.258593483314 * CHOOSE(CONTROL!$C$10, $C$13, 100%, $E$13) + CHOOSE(CONTROL!$C$29, 0.0021, 0)</f>
        <v>169.26069348331401</v>
      </c>
    </row>
    <row r="242" spans="1:5" ht="15">
      <c r="A242" s="13">
        <v>48488</v>
      </c>
      <c r="B242" s="4">
        <f>25.8261 * CHOOSE(CONTROL!$C$10, $C$13, 100%, $E$13) + CHOOSE(CONTROL!$C$29, 0.0272, 0)</f>
        <v>25.853300000000001</v>
      </c>
      <c r="C242" s="4">
        <f>25.4629 * CHOOSE(CONTROL!$C$10, $C$13, 100%, $E$13) + CHOOSE(CONTROL!$C$29, 0.0272, 0)</f>
        <v>25.490100000000002</v>
      </c>
      <c r="D242" s="4">
        <f>35.9461 * CHOOSE(CONTROL!$C$10, $C$13, 100%, $E$13) + CHOOSE(CONTROL!$C$29, 0.0021, 0)</f>
        <v>35.9482</v>
      </c>
      <c r="E242" s="4">
        <f>163.634899115152 * CHOOSE(CONTROL!$C$10, $C$13, 100%, $E$13) + CHOOSE(CONTROL!$C$29, 0.0021, 0)</f>
        <v>163.63699911515201</v>
      </c>
    </row>
    <row r="243" spans="1:5" ht="15">
      <c r="A243" s="13">
        <v>48519</v>
      </c>
      <c r="B243" s="4">
        <f>25.2716 * CHOOSE(CONTROL!$C$10, $C$13, 100%, $E$13) + CHOOSE(CONTROL!$C$29, 0.0272, 0)</f>
        <v>25.2988</v>
      </c>
      <c r="C243" s="4">
        <f>24.9083 * CHOOSE(CONTROL!$C$10, $C$13, 100%, $E$13) + CHOOSE(CONTROL!$C$29, 0.0272, 0)</f>
        <v>24.935500000000001</v>
      </c>
      <c r="D243" s="4">
        <f>35.7823 * CHOOSE(CONTROL!$C$10, $C$13, 100%, $E$13) + CHOOSE(CONTROL!$C$29, 0.0021, 0)</f>
        <v>35.784399999999998</v>
      </c>
      <c r="E243" s="4">
        <f>160.012819990853 * CHOOSE(CONTROL!$C$10, $C$13, 100%, $E$13) + CHOOSE(CONTROL!$C$29, 0.0021, 0)</f>
        <v>160.014919990853</v>
      </c>
    </row>
    <row r="244" spans="1:5" ht="15">
      <c r="A244" s="13">
        <v>48549</v>
      </c>
      <c r="B244" s="4">
        <f>24.8879 * CHOOSE(CONTROL!$C$10, $C$13, 100%, $E$13) + CHOOSE(CONTROL!$C$29, 0.0272, 0)</f>
        <v>24.915099999999999</v>
      </c>
      <c r="C244" s="4">
        <f>24.5246 * CHOOSE(CONTROL!$C$10, $C$13, 100%, $E$13) + CHOOSE(CONTROL!$C$29, 0.0272, 0)</f>
        <v>24.5518</v>
      </c>
      <c r="D244" s="4">
        <f>34.5766 * CHOOSE(CONTROL!$C$10, $C$13, 100%, $E$13) + CHOOSE(CONTROL!$C$29, 0.0021, 0)</f>
        <v>34.578699999999998</v>
      </c>
      <c r="E244" s="4">
        <f>157.506806834911 * CHOOSE(CONTROL!$C$10, $C$13, 100%, $E$13) + CHOOSE(CONTROL!$C$29, 0.0021, 0)</f>
        <v>157.50890683491102</v>
      </c>
    </row>
    <row r="245" spans="1:5" ht="15">
      <c r="A245" s="13">
        <v>48580</v>
      </c>
      <c r="B245" s="4">
        <f>23.8823 * CHOOSE(CONTROL!$C$10, $C$13, 100%, $E$13) + CHOOSE(CONTROL!$C$29, 0.0272, 0)</f>
        <v>23.909500000000001</v>
      </c>
      <c r="C245" s="4">
        <f>23.5191 * CHOOSE(CONTROL!$C$10, $C$13, 100%, $E$13) + CHOOSE(CONTROL!$C$29, 0.0272, 0)</f>
        <v>23.546300000000002</v>
      </c>
      <c r="D245" s="4">
        <f>33.1885 * CHOOSE(CONTROL!$C$10, $C$13, 100%, $E$13) + CHOOSE(CONTROL!$C$29, 0.0021, 0)</f>
        <v>33.190599999999996</v>
      </c>
      <c r="E245" s="4">
        <f>150.946008315484 * CHOOSE(CONTROL!$C$10, $C$13, 100%, $E$13) + CHOOSE(CONTROL!$C$29, 0.0021, 0)</f>
        <v>150.94810831548401</v>
      </c>
    </row>
    <row r="246" spans="1:5" ht="15">
      <c r="A246" s="13">
        <v>48611</v>
      </c>
      <c r="B246" s="4">
        <f>24.431 * CHOOSE(CONTROL!$C$10, $C$13, 100%, $E$13) + CHOOSE(CONTROL!$C$29, 0.0272, 0)</f>
        <v>24.458200000000001</v>
      </c>
      <c r="C246" s="4">
        <f>24.0677 * CHOOSE(CONTROL!$C$10, $C$13, 100%, $E$13) + CHOOSE(CONTROL!$C$29, 0.0272, 0)</f>
        <v>24.094899999999999</v>
      </c>
      <c r="D246" s="4">
        <f>34.2945 * CHOOSE(CONTROL!$C$10, $C$13, 100%, $E$13) + CHOOSE(CONTROL!$C$29, 0.0021, 0)</f>
        <v>34.296599999999998</v>
      </c>
      <c r="E246" s="4">
        <f>154.530061417442 * CHOOSE(CONTROL!$C$10, $C$13, 100%, $E$13) + CHOOSE(CONTROL!$C$29, 0.0021, 0)</f>
        <v>154.53216141744201</v>
      </c>
    </row>
    <row r="247" spans="1:5" ht="15">
      <c r="A247" s="13">
        <v>48639</v>
      </c>
      <c r="B247" s="4">
        <f>25.8719 * CHOOSE(CONTROL!$C$10, $C$13, 100%, $E$13) + CHOOSE(CONTROL!$C$29, 0.0272, 0)</f>
        <v>25.899100000000001</v>
      </c>
      <c r="C247" s="4">
        <f>25.5087 * CHOOSE(CONTROL!$C$10, $C$13, 100%, $E$13) + CHOOSE(CONTROL!$C$29, 0.0272, 0)</f>
        <v>25.535900000000002</v>
      </c>
      <c r="D247" s="4">
        <f>36.0259 * CHOOSE(CONTROL!$C$10, $C$13, 100%, $E$13) + CHOOSE(CONTROL!$C$29, 0.0021, 0)</f>
        <v>36.027999999999999</v>
      </c>
      <c r="E247" s="4">
        <f>163.941975331335 * CHOOSE(CONTROL!$C$10, $C$13, 100%, $E$13) + CHOOSE(CONTROL!$C$29, 0.0021, 0)</f>
        <v>163.944075331335</v>
      </c>
    </row>
    <row r="248" spans="1:5" ht="15">
      <c r="A248" s="13">
        <v>48670</v>
      </c>
      <c r="B248" s="4">
        <f>26.8957 * CHOOSE(CONTROL!$C$10, $C$13, 100%, $E$13) + CHOOSE(CONTROL!$C$29, 0.0272, 0)</f>
        <v>26.922900000000002</v>
      </c>
      <c r="C248" s="4">
        <f>26.5324 * CHOOSE(CONTROL!$C$10, $C$13, 100%, $E$13) + CHOOSE(CONTROL!$C$29, 0.0272, 0)</f>
        <v>26.5596</v>
      </c>
      <c r="D248" s="4">
        <f>37.0232 * CHOOSE(CONTROL!$C$10, $C$13, 100%, $E$13) + CHOOSE(CONTROL!$C$29, 0.0021, 0)</f>
        <v>37.025300000000001</v>
      </c>
      <c r="E248" s="4">
        <f>170.629265597401 * CHOOSE(CONTROL!$C$10, $C$13, 100%, $E$13) + CHOOSE(CONTROL!$C$29, 0.0021, 0)</f>
        <v>170.63136559740101</v>
      </c>
    </row>
    <row r="249" spans="1:5" ht="15">
      <c r="A249" s="13">
        <v>48700</v>
      </c>
      <c r="B249" s="4">
        <f>27.5212 * CHOOSE(CONTROL!$C$10, $C$13, 100%, $E$13) + CHOOSE(CONTROL!$C$29, 0.0272, 0)</f>
        <v>27.548400000000001</v>
      </c>
      <c r="C249" s="4">
        <f>27.1579 * CHOOSE(CONTROL!$C$10, $C$13, 100%, $E$13) + CHOOSE(CONTROL!$C$29, 0.0272, 0)</f>
        <v>27.185100000000002</v>
      </c>
      <c r="D249" s="4">
        <f>36.6291 * CHOOSE(CONTROL!$C$10, $C$13, 100%, $E$13) + CHOOSE(CONTROL!$C$29, 0.0021, 0)</f>
        <v>36.6312</v>
      </c>
      <c r="E249" s="4">
        <f>174.715039677988 * CHOOSE(CONTROL!$C$10, $C$13, 100%, $E$13) + CHOOSE(CONTROL!$C$29, 0.0021, 0)</f>
        <v>174.717139677988</v>
      </c>
    </row>
    <row r="250" spans="1:5" ht="15">
      <c r="A250" s="13">
        <v>48731</v>
      </c>
      <c r="B250" s="4">
        <f>27.6059 * CHOOSE(CONTROL!$C$10, $C$13, 100%, $E$13) + CHOOSE(CONTROL!$C$29, 0.0272, 0)</f>
        <v>27.633099999999999</v>
      </c>
      <c r="C250" s="4">
        <f>27.2426 * CHOOSE(CONTROL!$C$10, $C$13, 100%, $E$13) + CHOOSE(CONTROL!$C$29, 0.0272, 0)</f>
        <v>27.2698</v>
      </c>
      <c r="D250" s="4">
        <f>36.9501 * CHOOSE(CONTROL!$C$10, $C$13, 100%, $E$13) + CHOOSE(CONTROL!$C$29, 0.0021, 0)</f>
        <v>36.952199999999998</v>
      </c>
      <c r="E250" s="4">
        <f>175.267861867402 * CHOOSE(CONTROL!$C$10, $C$13, 100%, $E$13) + CHOOSE(CONTROL!$C$29, 0.0021, 0)</f>
        <v>175.269961867402</v>
      </c>
    </row>
    <row r="251" spans="1:5" ht="15">
      <c r="A251" s="13">
        <v>48761</v>
      </c>
      <c r="B251" s="4">
        <f>27.5973 * CHOOSE(CONTROL!$C$10, $C$13, 100%, $E$13) + CHOOSE(CONTROL!$C$29, 0.0272, 0)</f>
        <v>27.624500000000001</v>
      </c>
      <c r="C251" s="4">
        <f>27.234 * CHOOSE(CONTROL!$C$10, $C$13, 100%, $E$13) + CHOOSE(CONTROL!$C$29, 0.0272, 0)</f>
        <v>27.261200000000002</v>
      </c>
      <c r="D251" s="4">
        <f>37.5292 * CHOOSE(CONTROL!$C$10, $C$13, 100%, $E$13) + CHOOSE(CONTROL!$C$29, 0.0021, 0)</f>
        <v>37.531300000000002</v>
      </c>
      <c r="E251" s="4">
        <f>175.212115091999 * CHOOSE(CONTROL!$C$10, $C$13, 100%, $E$13) + CHOOSE(CONTROL!$C$29, 0.0021, 0)</f>
        <v>175.21421509199902</v>
      </c>
    </row>
    <row r="252" spans="1:5" ht="15">
      <c r="A252" s="13">
        <v>48792</v>
      </c>
      <c r="B252" s="4">
        <f>28.2395 * CHOOSE(CONTROL!$C$10, $C$13, 100%, $E$13) + CHOOSE(CONTROL!$C$29, 0.0272, 0)</f>
        <v>28.2667</v>
      </c>
      <c r="C252" s="4">
        <f>27.8763 * CHOOSE(CONTROL!$C$10, $C$13, 100%, $E$13) + CHOOSE(CONTROL!$C$29, 0.0272, 0)</f>
        <v>27.903500000000001</v>
      </c>
      <c r="D252" s="4">
        <f>37.1467 * CHOOSE(CONTROL!$C$10, $C$13, 100%, $E$13) + CHOOSE(CONTROL!$C$29, 0.0021, 0)</f>
        <v>37.148800000000001</v>
      </c>
      <c r="E252" s="4">
        <f>179.407059941084 * CHOOSE(CONTROL!$C$10, $C$13, 100%, $E$13) + CHOOSE(CONTROL!$C$29, 0.0021, 0)</f>
        <v>179.409159941084</v>
      </c>
    </row>
    <row r="253" spans="1:5" ht="15">
      <c r="A253" s="13">
        <v>48823</v>
      </c>
      <c r="B253" s="4">
        <f>27.145 * CHOOSE(CONTROL!$C$10, $C$13, 100%, $E$13) + CHOOSE(CONTROL!$C$29, 0.0272, 0)</f>
        <v>27.1722</v>
      </c>
      <c r="C253" s="4">
        <f>26.7817 * CHOOSE(CONTROL!$C$10, $C$13, 100%, $E$13) + CHOOSE(CONTROL!$C$29, 0.0272, 0)</f>
        <v>26.808900000000001</v>
      </c>
      <c r="D253" s="4">
        <f>36.966 * CHOOSE(CONTROL!$C$10, $C$13, 100%, $E$13) + CHOOSE(CONTROL!$C$29, 0.0021, 0)</f>
        <v>36.9681</v>
      </c>
      <c r="E253" s="4">
        <f>172.257535995634 * CHOOSE(CONTROL!$C$10, $C$13, 100%, $E$13) + CHOOSE(CONTROL!$C$29, 0.0021, 0)</f>
        <v>172.259635995634</v>
      </c>
    </row>
    <row r="254" spans="1:5" ht="15">
      <c r="A254" s="13">
        <v>48853</v>
      </c>
      <c r="B254" s="4">
        <f>26.2688 * CHOOSE(CONTROL!$C$10, $C$13, 100%, $E$13) + CHOOSE(CONTROL!$C$29, 0.0272, 0)</f>
        <v>26.295999999999999</v>
      </c>
      <c r="C254" s="4">
        <f>25.9055 * CHOOSE(CONTROL!$C$10, $C$13, 100%, $E$13) + CHOOSE(CONTROL!$C$29, 0.0272, 0)</f>
        <v>25.932700000000001</v>
      </c>
      <c r="D254" s="4">
        <f>36.4822 * CHOOSE(CONTROL!$C$10, $C$13, 100%, $E$13) + CHOOSE(CONTROL!$C$29, 0.0021, 0)</f>
        <v>36.484299999999998</v>
      </c>
      <c r="E254" s="4">
        <f>166.53420038758 * CHOOSE(CONTROL!$C$10, $C$13, 100%, $E$13) + CHOOSE(CONTROL!$C$29, 0.0021, 0)</f>
        <v>166.53630038758001</v>
      </c>
    </row>
    <row r="255" spans="1:5" ht="15">
      <c r="A255" s="13">
        <v>48884</v>
      </c>
      <c r="B255" s="4">
        <f>25.7044 * CHOOSE(CONTROL!$C$10, $C$13, 100%, $E$13) + CHOOSE(CONTROL!$C$29, 0.0272, 0)</f>
        <v>25.7316</v>
      </c>
      <c r="C255" s="4">
        <f>25.3412 * CHOOSE(CONTROL!$C$10, $C$13, 100%, $E$13) + CHOOSE(CONTROL!$C$29, 0.0272, 0)</f>
        <v>25.368400000000001</v>
      </c>
      <c r="D255" s="4">
        <f>36.3159 * CHOOSE(CONTROL!$C$10, $C$13, 100%, $E$13) + CHOOSE(CONTROL!$C$29, 0.0021, 0)</f>
        <v>36.317999999999998</v>
      </c>
      <c r="E255" s="4">
        <f>162.847944864049 * CHOOSE(CONTROL!$C$10, $C$13, 100%, $E$13) + CHOOSE(CONTROL!$C$29, 0.0021, 0)</f>
        <v>162.85004486404901</v>
      </c>
    </row>
    <row r="256" spans="1:5" ht="15">
      <c r="A256" s="13">
        <v>48914</v>
      </c>
      <c r="B256" s="4">
        <f>25.314 * CHOOSE(CONTROL!$C$10, $C$13, 100%, $E$13) + CHOOSE(CONTROL!$C$29, 0.0272, 0)</f>
        <v>25.341200000000001</v>
      </c>
      <c r="C256" s="4">
        <f>24.9507 * CHOOSE(CONTROL!$C$10, $C$13, 100%, $E$13) + CHOOSE(CONTROL!$C$29, 0.0272, 0)</f>
        <v>24.977900000000002</v>
      </c>
      <c r="D256" s="4">
        <f>35.0912 * CHOOSE(CONTROL!$C$10, $C$13, 100%, $E$13) + CHOOSE(CONTROL!$C$29, 0.0021, 0)</f>
        <v>35.093299999999999</v>
      </c>
      <c r="E256" s="4">
        <f>160.297529889357 * CHOOSE(CONTROL!$C$10, $C$13, 100%, $E$13) + CHOOSE(CONTROL!$C$29, 0.0021, 0)</f>
        <v>160.29962988935702</v>
      </c>
    </row>
    <row r="257" spans="1:5" ht="15">
      <c r="A257" s="13">
        <v>48945</v>
      </c>
      <c r="B257" s="4">
        <f>24.2906 * CHOOSE(CONTROL!$C$10, $C$13, 100%, $E$13) + CHOOSE(CONTROL!$C$29, 0.0272, 0)</f>
        <v>24.317800000000002</v>
      </c>
      <c r="C257" s="4">
        <f>23.9273 * CHOOSE(CONTROL!$C$10, $C$13, 100%, $E$13) + CHOOSE(CONTROL!$C$29, 0.0272, 0)</f>
        <v>23.954499999999999</v>
      </c>
      <c r="D257" s="4">
        <f>33.6813 * CHOOSE(CONTROL!$C$10, $C$13, 100%, $E$13) + CHOOSE(CONTROL!$C$29, 0.0021, 0)</f>
        <v>33.683399999999999</v>
      </c>
      <c r="E257" s="4">
        <f>153.62048641486 * CHOOSE(CONTROL!$C$10, $C$13, 100%, $E$13) + CHOOSE(CONTROL!$C$29, 0.0021, 0)</f>
        <v>153.62258641486002</v>
      </c>
    </row>
    <row r="258" spans="1:5" ht="15">
      <c r="A258" s="13">
        <v>48976</v>
      </c>
      <c r="B258" s="4">
        <f>24.849 * CHOOSE(CONTROL!$C$10, $C$13, 100%, $E$13) + CHOOSE(CONTROL!$C$29, 0.0272, 0)</f>
        <v>24.876200000000001</v>
      </c>
      <c r="C258" s="4">
        <f>24.4857 * CHOOSE(CONTROL!$C$10, $C$13, 100%, $E$13) + CHOOSE(CONTROL!$C$29, 0.0272, 0)</f>
        <v>24.512900000000002</v>
      </c>
      <c r="D258" s="4">
        <f>34.8047 * CHOOSE(CONTROL!$C$10, $C$13, 100%, $E$13) + CHOOSE(CONTROL!$C$29, 0.0021, 0)</f>
        <v>34.806799999999996</v>
      </c>
      <c r="E258" s="4">
        <f>157.268042166774 * CHOOSE(CONTROL!$C$10, $C$13, 100%, $E$13) + CHOOSE(CONTROL!$C$29, 0.0021, 0)</f>
        <v>157.27014216677401</v>
      </c>
    </row>
    <row r="259" spans="1:5" ht="15">
      <c r="A259" s="13">
        <v>49004</v>
      </c>
      <c r="B259" s="4">
        <f>26.3154 * CHOOSE(CONTROL!$C$10, $C$13, 100%, $E$13) + CHOOSE(CONTROL!$C$29, 0.0272, 0)</f>
        <v>26.342600000000001</v>
      </c>
      <c r="C259" s="4">
        <f>25.9521 * CHOOSE(CONTROL!$C$10, $C$13, 100%, $E$13) + CHOOSE(CONTROL!$C$29, 0.0272, 0)</f>
        <v>25.979300000000002</v>
      </c>
      <c r="D259" s="4">
        <f>36.5633 * CHOOSE(CONTROL!$C$10, $C$13, 100%, $E$13) + CHOOSE(CONTROL!$C$29, 0.0021, 0)</f>
        <v>36.565399999999997</v>
      </c>
      <c r="E259" s="4">
        <f>166.846717414185 * CHOOSE(CONTROL!$C$10, $C$13, 100%, $E$13) + CHOOSE(CONTROL!$C$29, 0.0021, 0)</f>
        <v>166.84881741418502</v>
      </c>
    </row>
    <row r="260" spans="1:5" ht="15">
      <c r="A260" s="13">
        <v>49035</v>
      </c>
      <c r="B260" s="4">
        <f>27.3573 * CHOOSE(CONTROL!$C$10, $C$13, 100%, $E$13) + CHOOSE(CONTROL!$C$29, 0.0272, 0)</f>
        <v>27.384499999999999</v>
      </c>
      <c r="C260" s="4">
        <f>26.994 * CHOOSE(CONTROL!$C$10, $C$13, 100%, $E$13) + CHOOSE(CONTROL!$C$29, 0.0272, 0)</f>
        <v>27.0212</v>
      </c>
      <c r="D260" s="4">
        <f>37.5763 * CHOOSE(CONTROL!$C$10, $C$13, 100%, $E$13) + CHOOSE(CONTROL!$C$29, 0.0021, 0)</f>
        <v>37.578400000000002</v>
      </c>
      <c r="E260" s="4">
        <f>173.652493830102 * CHOOSE(CONTROL!$C$10, $C$13, 100%, $E$13) + CHOOSE(CONTROL!$C$29, 0.0021, 0)</f>
        <v>173.65459383010202</v>
      </c>
    </row>
    <row r="261" spans="1:5" ht="15">
      <c r="A261" s="13">
        <v>49065</v>
      </c>
      <c r="B261" s="4">
        <f>27.9938 * CHOOSE(CONTROL!$C$10, $C$13, 100%, $E$13) + CHOOSE(CONTROL!$C$29, 0.0272, 0)</f>
        <v>28.021000000000001</v>
      </c>
      <c r="C261" s="4">
        <f>27.6305 * CHOOSE(CONTROL!$C$10, $C$13, 100%, $E$13) + CHOOSE(CONTROL!$C$29, 0.0272, 0)</f>
        <v>27.657700000000002</v>
      </c>
      <c r="D261" s="4">
        <f>37.176 * CHOOSE(CONTROL!$C$10, $C$13, 100%, $E$13) + CHOOSE(CONTROL!$C$29, 0.0021, 0)</f>
        <v>37.178100000000001</v>
      </c>
      <c r="E261" s="4">
        <f>177.810660108531 * CHOOSE(CONTROL!$C$10, $C$13, 100%, $E$13) + CHOOSE(CONTROL!$C$29, 0.0021, 0)</f>
        <v>177.81276010853102</v>
      </c>
    </row>
    <row r="262" spans="1:5" ht="15">
      <c r="A262" s="13">
        <v>49096</v>
      </c>
      <c r="B262" s="4">
        <f>28.0799 * CHOOSE(CONTROL!$C$10, $C$13, 100%, $E$13) + CHOOSE(CONTROL!$C$29, 0.0272, 0)</f>
        <v>28.107099999999999</v>
      </c>
      <c r="C262" s="4">
        <f>27.7167 * CHOOSE(CONTROL!$C$10, $C$13, 100%, $E$13) + CHOOSE(CONTROL!$C$29, 0.0272, 0)</f>
        <v>27.7439</v>
      </c>
      <c r="D262" s="4">
        <f>37.502 * CHOOSE(CONTROL!$C$10, $C$13, 100%, $E$13) + CHOOSE(CONTROL!$C$29, 0.0021, 0)</f>
        <v>37.504100000000001</v>
      </c>
      <c r="E262" s="4">
        <f>178.373277262748 * CHOOSE(CONTROL!$C$10, $C$13, 100%, $E$13) + CHOOSE(CONTROL!$C$29, 0.0021, 0)</f>
        <v>178.375377262748</v>
      </c>
    </row>
    <row r="263" spans="1:5" ht="15">
      <c r="A263" s="13">
        <v>49126</v>
      </c>
      <c r="B263" s="4">
        <f>28.0713 * CHOOSE(CONTROL!$C$10, $C$13, 100%, $E$13) + CHOOSE(CONTROL!$C$29, 0.0272, 0)</f>
        <v>28.098500000000001</v>
      </c>
      <c r="C263" s="4">
        <f>27.708 * CHOOSE(CONTROL!$C$10, $C$13, 100%, $E$13) + CHOOSE(CONTROL!$C$29, 0.0272, 0)</f>
        <v>27.735199999999999</v>
      </c>
      <c r="D263" s="4">
        <f>38.0902 * CHOOSE(CONTROL!$C$10, $C$13, 100%, $E$13) + CHOOSE(CONTROL!$C$29, 0.0021, 0)</f>
        <v>38.092300000000002</v>
      </c>
      <c r="E263" s="4">
        <f>178.316542759801 * CHOOSE(CONTROL!$C$10, $C$13, 100%, $E$13) + CHOOSE(CONTROL!$C$29, 0.0021, 0)</f>
        <v>178.31864275980101</v>
      </c>
    </row>
    <row r="264" spans="1:5" ht="15">
      <c r="A264" s="13">
        <v>49157</v>
      </c>
      <c r="B264" s="4">
        <f>28.7248 * CHOOSE(CONTROL!$C$10, $C$13, 100%, $E$13) + CHOOSE(CONTROL!$C$29, 0.0272, 0)</f>
        <v>28.751999999999999</v>
      </c>
      <c r="C264" s="4">
        <f>28.3615 * CHOOSE(CONTROL!$C$10, $C$13, 100%, $E$13) + CHOOSE(CONTROL!$C$29, 0.0272, 0)</f>
        <v>28.3887</v>
      </c>
      <c r="D264" s="4">
        <f>37.7017 * CHOOSE(CONTROL!$C$10, $C$13, 100%, $E$13) + CHOOSE(CONTROL!$C$29, 0.0021, 0)</f>
        <v>37.703800000000001</v>
      </c>
      <c r="E264" s="4">
        <f>182.5858141065 * CHOOSE(CONTROL!$C$10, $C$13, 100%, $E$13) + CHOOSE(CONTROL!$C$29, 0.0021, 0)</f>
        <v>182.58791410650002</v>
      </c>
    </row>
    <row r="265" spans="1:5" ht="15">
      <c r="A265" s="13">
        <v>49188</v>
      </c>
      <c r="B265" s="4">
        <f>27.6109 * CHOOSE(CONTROL!$C$10, $C$13, 100%, $E$13) + CHOOSE(CONTROL!$C$29, 0.0272, 0)</f>
        <v>27.638100000000001</v>
      </c>
      <c r="C265" s="4">
        <f>27.2477 * CHOOSE(CONTROL!$C$10, $C$13, 100%, $E$13) + CHOOSE(CONTROL!$C$29, 0.0272, 0)</f>
        <v>27.274899999999999</v>
      </c>
      <c r="D265" s="4">
        <f>37.5182 * CHOOSE(CONTROL!$C$10, $C$13, 100%, $E$13) + CHOOSE(CONTROL!$C$29, 0.0021, 0)</f>
        <v>37.520299999999999</v>
      </c>
      <c r="E265" s="4">
        <f>175.309614103655 * CHOOSE(CONTROL!$C$10, $C$13, 100%, $E$13) + CHOOSE(CONTROL!$C$29, 0.0021, 0)</f>
        <v>175.31171410365502</v>
      </c>
    </row>
    <row r="266" spans="1:5" ht="15">
      <c r="A266" s="13">
        <v>49218</v>
      </c>
      <c r="B266" s="4">
        <f>26.7192 * CHOOSE(CONTROL!$C$10, $C$13, 100%, $E$13) + CHOOSE(CONTROL!$C$29, 0.0272, 0)</f>
        <v>26.746400000000001</v>
      </c>
      <c r="C266" s="4">
        <f>26.356 * CHOOSE(CONTROL!$C$10, $C$13, 100%, $E$13) + CHOOSE(CONTROL!$C$29, 0.0272, 0)</f>
        <v>26.383200000000002</v>
      </c>
      <c r="D266" s="4">
        <f>37.0268 * CHOOSE(CONTROL!$C$10, $C$13, 100%, $E$13) + CHOOSE(CONTROL!$C$29, 0.0021, 0)</f>
        <v>37.0289</v>
      </c>
      <c r="E266" s="4">
        <f>169.484871801181 * CHOOSE(CONTROL!$C$10, $C$13, 100%, $E$13) + CHOOSE(CONTROL!$C$29, 0.0021, 0)</f>
        <v>169.486971801181</v>
      </c>
    </row>
    <row r="267" spans="1:5" ht="15">
      <c r="A267" s="13">
        <v>49249</v>
      </c>
      <c r="B267" s="4">
        <f>26.1449 * CHOOSE(CONTROL!$C$10, $C$13, 100%, $E$13) + CHOOSE(CONTROL!$C$29, 0.0272, 0)</f>
        <v>26.1721</v>
      </c>
      <c r="C267" s="4">
        <f>25.7817 * CHOOSE(CONTROL!$C$10, $C$13, 100%, $E$13) + CHOOSE(CONTROL!$C$29, 0.0272, 0)</f>
        <v>25.808900000000001</v>
      </c>
      <c r="D267" s="4">
        <f>36.8578 * CHOOSE(CONTROL!$C$10, $C$13, 100%, $E$13) + CHOOSE(CONTROL!$C$29, 0.0021, 0)</f>
        <v>36.859899999999996</v>
      </c>
      <c r="E267" s="4">
        <f>165.733302793866 * CHOOSE(CONTROL!$C$10, $C$13, 100%, $E$13) + CHOOSE(CONTROL!$C$29, 0.0021, 0)</f>
        <v>165.735402793866</v>
      </c>
    </row>
    <row r="268" spans="1:5" ht="15">
      <c r="A268" s="13">
        <v>49279</v>
      </c>
      <c r="B268" s="4">
        <f>25.7476 * CHOOSE(CONTROL!$C$10, $C$13, 100%, $E$13) + CHOOSE(CONTROL!$C$29, 0.0272, 0)</f>
        <v>25.774799999999999</v>
      </c>
      <c r="C268" s="4">
        <f>25.3843 * CHOOSE(CONTROL!$C$10, $C$13, 100%, $E$13) + CHOOSE(CONTROL!$C$29, 0.0272, 0)</f>
        <v>25.4115</v>
      </c>
      <c r="D268" s="4">
        <f>35.6139 * CHOOSE(CONTROL!$C$10, $C$13, 100%, $E$13) + CHOOSE(CONTROL!$C$29, 0.0021, 0)</f>
        <v>35.616</v>
      </c>
      <c r="E268" s="4">
        <f>163.137699284079 * CHOOSE(CONTROL!$C$10, $C$13, 100%, $E$13) + CHOOSE(CONTROL!$C$29, 0.0021, 0)</f>
        <v>163.139799284079</v>
      </c>
    </row>
    <row r="269" spans="1:5" ht="15">
      <c r="A269" s="13">
        <v>49310</v>
      </c>
      <c r="B269" s="4">
        <f>24.7061 * CHOOSE(CONTROL!$C$10, $C$13, 100%, $E$13) + CHOOSE(CONTROL!$C$29, 0.0272, 0)</f>
        <v>24.7333</v>
      </c>
      <c r="C269" s="4">
        <f>24.3429 * CHOOSE(CONTROL!$C$10, $C$13, 100%, $E$13) + CHOOSE(CONTROL!$C$29, 0.0272, 0)</f>
        <v>24.370100000000001</v>
      </c>
      <c r="D269" s="4">
        <f>34.1818 * CHOOSE(CONTROL!$C$10, $C$13, 100%, $E$13) + CHOOSE(CONTROL!$C$29, 0.0021, 0)</f>
        <v>34.183900000000001</v>
      </c>
      <c r="E269" s="4">
        <f>156.342351213519 * CHOOSE(CONTROL!$C$10, $C$13, 100%, $E$13) + CHOOSE(CONTROL!$C$29, 0.0021, 0)</f>
        <v>156.34445121351902</v>
      </c>
    </row>
    <row r="270" spans="1:5" ht="15">
      <c r="A270" s="13">
        <v>49341</v>
      </c>
      <c r="B270" s="4">
        <f>25.2744 * CHOOSE(CONTROL!$C$10, $C$13, 100%, $E$13) + CHOOSE(CONTROL!$C$29, 0.0272, 0)</f>
        <v>25.301600000000001</v>
      </c>
      <c r="C270" s="4">
        <f>24.9111 * CHOOSE(CONTROL!$C$10, $C$13, 100%, $E$13) + CHOOSE(CONTROL!$C$29, 0.0272, 0)</f>
        <v>24.938300000000002</v>
      </c>
      <c r="D270" s="4">
        <f>35.3229 * CHOOSE(CONTROL!$C$10, $C$13, 100%, $E$13) + CHOOSE(CONTROL!$C$29, 0.0021, 0)</f>
        <v>35.324999999999996</v>
      </c>
      <c r="E270" s="4">
        <f>160.054534762376 * CHOOSE(CONTROL!$C$10, $C$13, 100%, $E$13) + CHOOSE(CONTROL!$C$29, 0.0021, 0)</f>
        <v>160.05663476237601</v>
      </c>
    </row>
    <row r="271" spans="1:5" ht="15">
      <c r="A271" s="13">
        <v>49369</v>
      </c>
      <c r="B271" s="4">
        <f>26.7667 * CHOOSE(CONTROL!$C$10, $C$13, 100%, $E$13) + CHOOSE(CONTROL!$C$29, 0.0272, 0)</f>
        <v>26.793900000000001</v>
      </c>
      <c r="C271" s="4">
        <f>26.4034 * CHOOSE(CONTROL!$C$10, $C$13, 100%, $E$13) + CHOOSE(CONTROL!$C$29, 0.0272, 0)</f>
        <v>26.430600000000002</v>
      </c>
      <c r="D271" s="4">
        <f>37.1091 * CHOOSE(CONTROL!$C$10, $C$13, 100%, $E$13) + CHOOSE(CONTROL!$C$29, 0.0021, 0)</f>
        <v>37.111199999999997</v>
      </c>
      <c r="E271" s="4">
        <f>169.802926039088 * CHOOSE(CONTROL!$C$10, $C$13, 100%, $E$13) + CHOOSE(CONTROL!$C$29, 0.0021, 0)</f>
        <v>169.80502603908801</v>
      </c>
    </row>
    <row r="272" spans="1:5" ht="15">
      <c r="A272" s="13">
        <v>49400</v>
      </c>
      <c r="B272" s="4">
        <f>27.8269 * CHOOSE(CONTROL!$C$10, $C$13, 100%, $E$13) + CHOOSE(CONTROL!$C$29, 0.0272, 0)</f>
        <v>27.854099999999999</v>
      </c>
      <c r="C272" s="4">
        <f>27.4637 * CHOOSE(CONTROL!$C$10, $C$13, 100%, $E$13) + CHOOSE(CONTROL!$C$29, 0.0272, 0)</f>
        <v>27.4909</v>
      </c>
      <c r="D272" s="4">
        <f>38.138 * CHOOSE(CONTROL!$C$10, $C$13, 100%, $E$13) + CHOOSE(CONTROL!$C$29, 0.0021, 0)</f>
        <v>38.140099999999997</v>
      </c>
      <c r="E272" s="4">
        <f>176.729287955588 * CHOOSE(CONTROL!$C$10, $C$13, 100%, $E$13) + CHOOSE(CONTROL!$C$29, 0.0021, 0)</f>
        <v>176.73138795558802</v>
      </c>
    </row>
    <row r="273" spans="1:5" ht="15">
      <c r="A273" s="13">
        <v>49430</v>
      </c>
      <c r="B273" s="4">
        <f>28.4747 * CHOOSE(CONTROL!$C$10, $C$13, 100%, $E$13) + CHOOSE(CONTROL!$C$29, 0.0272, 0)</f>
        <v>28.501899999999999</v>
      </c>
      <c r="C273" s="4">
        <f>28.1115 * CHOOSE(CONTROL!$C$10, $C$13, 100%, $E$13) + CHOOSE(CONTROL!$C$29, 0.0272, 0)</f>
        <v>28.1387</v>
      </c>
      <c r="D273" s="4">
        <f>37.7315 * CHOOSE(CONTROL!$C$10, $C$13, 100%, $E$13) + CHOOSE(CONTROL!$C$29, 0.0021, 0)</f>
        <v>37.733599999999996</v>
      </c>
      <c r="E273" s="4">
        <f>180.961129084842 * CHOOSE(CONTROL!$C$10, $C$13, 100%, $E$13) + CHOOSE(CONTROL!$C$29, 0.0021, 0)</f>
        <v>180.96322908484203</v>
      </c>
    </row>
    <row r="274" spans="1:5" ht="15">
      <c r="A274" s="14">
        <v>49461</v>
      </c>
      <c r="B274" s="4">
        <f>28.5624 * CHOOSE(CONTROL!$C$10, $C$13, 100%, $E$13) + CHOOSE(CONTROL!$C$29, 0.0272, 0)</f>
        <v>28.589600000000001</v>
      </c>
      <c r="C274" s="4">
        <f>28.1991 * CHOOSE(CONTROL!$C$10, $C$13, 100%, $E$13) + CHOOSE(CONTROL!$C$29, 0.0272, 0)</f>
        <v>28.226300000000002</v>
      </c>
      <c r="D274" s="4">
        <f>38.0626 * CHOOSE(CONTROL!$C$10, $C$13, 100%, $E$13) + CHOOSE(CONTROL!$C$29, 0.0021, 0)</f>
        <v>38.064700000000002</v>
      </c>
      <c r="E274" s="4">
        <f>181.533714752132 * CHOOSE(CONTROL!$C$10, $C$13, 100%, $E$13) + CHOOSE(CONTROL!$C$29, 0.0021, 0)</f>
        <v>181.53581475213201</v>
      </c>
    </row>
    <row r="275" spans="1:5" ht="15">
      <c r="A275" s="14">
        <v>49491</v>
      </c>
      <c r="B275" s="4">
        <f>28.5536 * CHOOSE(CONTROL!$C$10, $C$13, 100%, $E$13) + CHOOSE(CONTROL!$C$29, 0.0272, 0)</f>
        <v>28.5808</v>
      </c>
      <c r="C275" s="4">
        <f>28.1903 * CHOOSE(CONTROL!$C$10, $C$13, 100%, $E$13) + CHOOSE(CONTROL!$C$29, 0.0272, 0)</f>
        <v>28.217500000000001</v>
      </c>
      <c r="D275" s="4">
        <f>38.6601 * CHOOSE(CONTROL!$C$10, $C$13, 100%, $E$13) + CHOOSE(CONTROL!$C$29, 0.0021, 0)</f>
        <v>38.662199999999999</v>
      </c>
      <c r="E275" s="4">
        <f>181.475975020976 * CHOOSE(CONTROL!$C$10, $C$13, 100%, $E$13) + CHOOSE(CONTROL!$C$29, 0.0021, 0)</f>
        <v>181.47807502097601</v>
      </c>
    </row>
    <row r="276" spans="1:5" ht="15">
      <c r="A276" s="14">
        <v>49522</v>
      </c>
      <c r="B276" s="4">
        <f>29.2187 * CHOOSE(CONTROL!$C$10, $C$13, 100%, $E$13) + CHOOSE(CONTROL!$C$29, 0.0272, 0)</f>
        <v>29.245899999999999</v>
      </c>
      <c r="C276" s="4">
        <f>28.8554 * CHOOSE(CONTROL!$C$10, $C$13, 100%, $E$13) + CHOOSE(CONTROL!$C$29, 0.0272, 0)</f>
        <v>28.8826</v>
      </c>
      <c r="D276" s="4">
        <f>38.2655 * CHOOSE(CONTROL!$C$10, $C$13, 100%, $E$13) + CHOOSE(CONTROL!$C$29, 0.0021, 0)</f>
        <v>38.267600000000002</v>
      </c>
      <c r="E276" s="4">
        <f>185.82088979041 * CHOOSE(CONTROL!$C$10, $C$13, 100%, $E$13) + CHOOSE(CONTROL!$C$29, 0.0021, 0)</f>
        <v>185.82298979041002</v>
      </c>
    </row>
    <row r="277" spans="1:5" ht="15">
      <c r="A277" s="14">
        <v>49553</v>
      </c>
      <c r="B277" s="4">
        <f>28.0851 * CHOOSE(CONTROL!$C$10, $C$13, 100%, $E$13) + CHOOSE(CONTROL!$C$29, 0.0272, 0)</f>
        <v>28.112300000000001</v>
      </c>
      <c r="C277" s="4">
        <f>27.7218 * CHOOSE(CONTROL!$C$10, $C$13, 100%, $E$13) + CHOOSE(CONTROL!$C$29, 0.0272, 0)</f>
        <v>27.749000000000002</v>
      </c>
      <c r="D277" s="4">
        <f>38.0791 * CHOOSE(CONTROL!$C$10, $C$13, 100%, $E$13) + CHOOSE(CONTROL!$C$29, 0.0021, 0)</f>
        <v>38.081199999999995</v>
      </c>
      <c r="E277" s="4">
        <f>178.415769269748 * CHOOSE(CONTROL!$C$10, $C$13, 100%, $E$13) + CHOOSE(CONTROL!$C$29, 0.0021, 0)</f>
        <v>178.41786926974802</v>
      </c>
    </row>
    <row r="278" spans="1:5" ht="15">
      <c r="A278" s="14">
        <v>49583</v>
      </c>
      <c r="B278" s="4">
        <f>27.1777 * CHOOSE(CONTROL!$C$10, $C$13, 100%, $E$13) + CHOOSE(CONTROL!$C$29, 0.0272, 0)</f>
        <v>27.204900000000002</v>
      </c>
      <c r="C278" s="4">
        <f>26.8144 * CHOOSE(CONTROL!$C$10, $C$13, 100%, $E$13) + CHOOSE(CONTROL!$C$29, 0.0272, 0)</f>
        <v>26.8416</v>
      </c>
      <c r="D278" s="4">
        <f>37.5799 * CHOOSE(CONTROL!$C$10, $C$13, 100%, $E$13) + CHOOSE(CONTROL!$C$29, 0.0021, 0)</f>
        <v>37.582000000000001</v>
      </c>
      <c r="E278" s="4">
        <f>172.487823537808 * CHOOSE(CONTROL!$C$10, $C$13, 100%, $E$13) + CHOOSE(CONTROL!$C$29, 0.0021, 0)</f>
        <v>172.48992353780801</v>
      </c>
    </row>
    <row r="279" spans="1:5" ht="15">
      <c r="A279" s="14">
        <v>49614</v>
      </c>
      <c r="B279" s="4">
        <f>26.5932 * CHOOSE(CONTROL!$C$10, $C$13, 100%, $E$13) + CHOOSE(CONTROL!$C$29, 0.0272, 0)</f>
        <v>26.6204</v>
      </c>
      <c r="C279" s="4">
        <f>26.2299 * CHOOSE(CONTROL!$C$10, $C$13, 100%, $E$13) + CHOOSE(CONTROL!$C$29, 0.0272, 0)</f>
        <v>26.257100000000001</v>
      </c>
      <c r="D279" s="4">
        <f>37.4083 * CHOOSE(CONTROL!$C$10, $C$13, 100%, $E$13) + CHOOSE(CONTROL!$C$29, 0.0021, 0)</f>
        <v>37.410399999999996</v>
      </c>
      <c r="E279" s="4">
        <f>168.669783815166 * CHOOSE(CONTROL!$C$10, $C$13, 100%, $E$13) + CHOOSE(CONTROL!$C$29, 0.0021, 0)</f>
        <v>168.67188381516601</v>
      </c>
    </row>
    <row r="280" spans="1:5" ht="15">
      <c r="A280" s="14">
        <v>49644</v>
      </c>
      <c r="B280" s="4">
        <f>26.1888 * CHOOSE(CONTROL!$C$10, $C$13, 100%, $E$13) + CHOOSE(CONTROL!$C$29, 0.0272, 0)</f>
        <v>26.216000000000001</v>
      </c>
      <c r="C280" s="4">
        <f>25.8255 * CHOOSE(CONTROL!$C$10, $C$13, 100%, $E$13) + CHOOSE(CONTROL!$C$29, 0.0272, 0)</f>
        <v>25.852700000000002</v>
      </c>
      <c r="D280" s="4">
        <f>36.1448 * CHOOSE(CONTROL!$C$10, $C$13, 100%, $E$13) + CHOOSE(CONTROL!$C$29, 0.0021, 0)</f>
        <v>36.146899999999995</v>
      </c>
      <c r="E280" s="4">
        <f>166.028191114813 * CHOOSE(CONTROL!$C$10, $C$13, 100%, $E$13) + CHOOSE(CONTROL!$C$29, 0.0021, 0)</f>
        <v>166.03029111481302</v>
      </c>
    </row>
    <row r="281" spans="1:5" ht="15">
      <c r="A281" s="14">
        <v>49675</v>
      </c>
      <c r="B281" s="4">
        <f>25.129 * CHOOSE(CONTROL!$C$10, $C$13, 100%, $E$13) + CHOOSE(CONTROL!$C$29, 0.0272, 0)</f>
        <v>25.156200000000002</v>
      </c>
      <c r="C281" s="4">
        <f>24.7657 * CHOOSE(CONTROL!$C$10, $C$13, 100%, $E$13) + CHOOSE(CONTROL!$C$29, 0.0272, 0)</f>
        <v>24.792899999999999</v>
      </c>
      <c r="D281" s="4">
        <f>34.6902 * CHOOSE(CONTROL!$C$10, $C$13, 100%, $E$13) + CHOOSE(CONTROL!$C$29, 0.0021, 0)</f>
        <v>34.692299999999996</v>
      </c>
      <c r="E281" s="4">
        <f>159.112442314249 * CHOOSE(CONTROL!$C$10, $C$13, 100%, $E$13) + CHOOSE(CONTROL!$C$29, 0.0021, 0)</f>
        <v>159.11454231424901</v>
      </c>
    </row>
    <row r="282" spans="1:5" ht="15">
      <c r="A282" s="14">
        <v>49706</v>
      </c>
      <c r="B282" s="4">
        <f>25.7073 * CHOOSE(CONTROL!$C$10, $C$13, 100%, $E$13) + CHOOSE(CONTROL!$C$29, 0.0272, 0)</f>
        <v>25.734500000000001</v>
      </c>
      <c r="C282" s="4">
        <f>25.344 * CHOOSE(CONTROL!$C$10, $C$13, 100%, $E$13) + CHOOSE(CONTROL!$C$29, 0.0272, 0)</f>
        <v>25.371200000000002</v>
      </c>
      <c r="D282" s="4">
        <f>35.8492 * CHOOSE(CONTROL!$C$10, $C$13, 100%, $E$13) + CHOOSE(CONTROL!$C$29, 0.0021, 0)</f>
        <v>35.851300000000002</v>
      </c>
      <c r="E282" s="4">
        <f>162.890398742516 * CHOOSE(CONTROL!$C$10, $C$13, 100%, $E$13) + CHOOSE(CONTROL!$C$29, 0.0021, 0)</f>
        <v>162.89249874251601</v>
      </c>
    </row>
    <row r="283" spans="1:5" ht="15">
      <c r="A283" s="14">
        <v>49735</v>
      </c>
      <c r="B283" s="4">
        <f>27.2259 * CHOOSE(CONTROL!$C$10, $C$13, 100%, $E$13) + CHOOSE(CONTROL!$C$29, 0.0272, 0)</f>
        <v>27.2531</v>
      </c>
      <c r="C283" s="4">
        <f>26.8626 * CHOOSE(CONTROL!$C$10, $C$13, 100%, $E$13) + CHOOSE(CONTROL!$C$29, 0.0272, 0)</f>
        <v>26.889800000000001</v>
      </c>
      <c r="D283" s="4">
        <f>37.6635 * CHOOSE(CONTROL!$C$10, $C$13, 100%, $E$13) + CHOOSE(CONTROL!$C$29, 0.0021, 0)</f>
        <v>37.665599999999998</v>
      </c>
      <c r="E283" s="4">
        <f>172.811513095941 * CHOOSE(CONTROL!$C$10, $C$13, 100%, $E$13) + CHOOSE(CONTROL!$C$29, 0.0021, 0)</f>
        <v>172.81361309594101</v>
      </c>
    </row>
    <row r="284" spans="1:5" ht="15">
      <c r="A284" s="14">
        <v>49766</v>
      </c>
      <c r="B284" s="4">
        <f>28.3049 * CHOOSE(CONTROL!$C$10, $C$13, 100%, $E$13) + CHOOSE(CONTROL!$C$29, 0.0272, 0)</f>
        <v>28.332100000000001</v>
      </c>
      <c r="C284" s="4">
        <f>27.9416 * CHOOSE(CONTROL!$C$10, $C$13, 100%, $E$13) + CHOOSE(CONTROL!$C$29, 0.0272, 0)</f>
        <v>27.968800000000002</v>
      </c>
      <c r="D284" s="4">
        <f>38.7086 * CHOOSE(CONTROL!$C$10, $C$13, 100%, $E$13) + CHOOSE(CONTROL!$C$29, 0.0021, 0)</f>
        <v>38.710699999999996</v>
      </c>
      <c r="E284" s="4">
        <f>179.860597060282 * CHOOSE(CONTROL!$C$10, $C$13, 100%, $E$13) + CHOOSE(CONTROL!$C$29, 0.0021, 0)</f>
        <v>179.86269706028202</v>
      </c>
    </row>
    <row r="285" spans="1:5" ht="15">
      <c r="A285" s="14">
        <v>49796</v>
      </c>
      <c r="B285" s="4">
        <f>28.9642 * CHOOSE(CONTROL!$C$10, $C$13, 100%, $E$13) + CHOOSE(CONTROL!$C$29, 0.0272, 0)</f>
        <v>28.991400000000002</v>
      </c>
      <c r="C285" s="4">
        <f>28.6009 * CHOOSE(CONTROL!$C$10, $C$13, 100%, $E$13) + CHOOSE(CONTROL!$C$29, 0.0272, 0)</f>
        <v>28.6281</v>
      </c>
      <c r="D285" s="4">
        <f>38.2957 * CHOOSE(CONTROL!$C$10, $C$13, 100%, $E$13) + CHOOSE(CONTROL!$C$29, 0.0021, 0)</f>
        <v>38.297799999999995</v>
      </c>
      <c r="E285" s="4">
        <f>184.167418419531 * CHOOSE(CONTROL!$C$10, $C$13, 100%, $E$13) + CHOOSE(CONTROL!$C$29, 0.0021, 0)</f>
        <v>184.16951841953102</v>
      </c>
    </row>
    <row r="286" spans="1:5" ht="15">
      <c r="A286" s="14">
        <v>49827</v>
      </c>
      <c r="B286" s="4">
        <f>29.0534 * CHOOSE(CONTROL!$C$10, $C$13, 100%, $E$13) + CHOOSE(CONTROL!$C$29, 0.0272, 0)</f>
        <v>29.0806</v>
      </c>
      <c r="C286" s="4">
        <f>28.6901 * CHOOSE(CONTROL!$C$10, $C$13, 100%, $E$13) + CHOOSE(CONTROL!$C$29, 0.0272, 0)</f>
        <v>28.717300000000002</v>
      </c>
      <c r="D286" s="4">
        <f>38.632 * CHOOSE(CONTROL!$C$10, $C$13, 100%, $E$13) + CHOOSE(CONTROL!$C$29, 0.0021, 0)</f>
        <v>38.634099999999997</v>
      </c>
      <c r="E286" s="4">
        <f>184.750149223113 * CHOOSE(CONTROL!$C$10, $C$13, 100%, $E$13) + CHOOSE(CONTROL!$C$29, 0.0021, 0)</f>
        <v>184.75224922311301</v>
      </c>
    </row>
    <row r="287" spans="1:5" ht="15">
      <c r="A287" s="14">
        <v>49857</v>
      </c>
      <c r="B287" s="4">
        <f>29.0444 * CHOOSE(CONTROL!$C$10, $C$13, 100%, $E$13) + CHOOSE(CONTROL!$C$29, 0.0272, 0)</f>
        <v>29.0716</v>
      </c>
      <c r="C287" s="4">
        <f>28.6811 * CHOOSE(CONTROL!$C$10, $C$13, 100%, $E$13) + CHOOSE(CONTROL!$C$29, 0.0272, 0)</f>
        <v>28.708300000000001</v>
      </c>
      <c r="D287" s="4">
        <f>39.2389 * CHOOSE(CONTROL!$C$10, $C$13, 100%, $E$13) + CHOOSE(CONTROL!$C$29, 0.0021, 0)</f>
        <v>39.241</v>
      </c>
      <c r="E287" s="4">
        <f>184.691386453004 * CHOOSE(CONTROL!$C$10, $C$13, 100%, $E$13) + CHOOSE(CONTROL!$C$29, 0.0021, 0)</f>
        <v>184.693486453004</v>
      </c>
    </row>
    <row r="288" spans="1:5" ht="15">
      <c r="A288" s="14">
        <v>49888</v>
      </c>
      <c r="B288" s="4">
        <f>29.7213 * CHOOSE(CONTROL!$C$10, $C$13, 100%, $E$13) + CHOOSE(CONTROL!$C$29, 0.0272, 0)</f>
        <v>29.7485</v>
      </c>
      <c r="C288" s="4">
        <f>29.358 * CHOOSE(CONTROL!$C$10, $C$13, 100%, $E$13) + CHOOSE(CONTROL!$C$29, 0.0272, 0)</f>
        <v>29.385200000000001</v>
      </c>
      <c r="D288" s="4">
        <f>38.8381 * CHOOSE(CONTROL!$C$10, $C$13, 100%, $E$13) + CHOOSE(CONTROL!$C$29, 0.0021, 0)</f>
        <v>38.840199999999996</v>
      </c>
      <c r="E288" s="4">
        <f>189.113284903716 * CHOOSE(CONTROL!$C$10, $C$13, 100%, $E$13) + CHOOSE(CONTROL!$C$29, 0.0021, 0)</f>
        <v>189.11538490371601</v>
      </c>
    </row>
    <row r="289" spans="1:5" ht="15">
      <c r="A289" s="14">
        <v>49919</v>
      </c>
      <c r="B289" s="4">
        <f>28.5677 * CHOOSE(CONTROL!$C$10, $C$13, 100%, $E$13) + CHOOSE(CONTROL!$C$29, 0.0272, 0)</f>
        <v>28.594899999999999</v>
      </c>
      <c r="C289" s="4">
        <f>28.2044 * CHOOSE(CONTROL!$C$10, $C$13, 100%, $E$13) + CHOOSE(CONTROL!$C$29, 0.0272, 0)</f>
        <v>28.2316</v>
      </c>
      <c r="D289" s="4">
        <f>38.6487 * CHOOSE(CONTROL!$C$10, $C$13, 100%, $E$13) + CHOOSE(CONTROL!$C$29, 0.0021, 0)</f>
        <v>38.650799999999997</v>
      </c>
      <c r="E289" s="4">
        <f>181.57695963722 * CHOOSE(CONTROL!$C$10, $C$13, 100%, $E$13) + CHOOSE(CONTROL!$C$29, 0.0021, 0)</f>
        <v>181.57905963722001</v>
      </c>
    </row>
    <row r="290" spans="1:5" ht="15">
      <c r="A290" s="14">
        <v>49949</v>
      </c>
      <c r="B290" s="4">
        <f>27.6442 * CHOOSE(CONTROL!$C$10, $C$13, 100%, $E$13) + CHOOSE(CONTROL!$C$29, 0.0272, 0)</f>
        <v>27.671400000000002</v>
      </c>
      <c r="C290" s="4">
        <f>27.2809 * CHOOSE(CONTROL!$C$10, $C$13, 100%, $E$13) + CHOOSE(CONTROL!$C$29, 0.0272, 0)</f>
        <v>27.3081</v>
      </c>
      <c r="D290" s="4">
        <f>38.1417 * CHOOSE(CONTROL!$C$10, $C$13, 100%, $E$13) + CHOOSE(CONTROL!$C$29, 0.0021, 0)</f>
        <v>38.143799999999999</v>
      </c>
      <c r="E290" s="4">
        <f>175.543981906016 * CHOOSE(CONTROL!$C$10, $C$13, 100%, $E$13) + CHOOSE(CONTROL!$C$29, 0.0021, 0)</f>
        <v>175.54608190601601</v>
      </c>
    </row>
    <row r="291" spans="1:5" ht="15">
      <c r="A291" s="14">
        <v>49980</v>
      </c>
      <c r="B291" s="4">
        <f>27.0494 * CHOOSE(CONTROL!$C$10, $C$13, 100%, $E$13) + CHOOSE(CONTROL!$C$29, 0.0272, 0)</f>
        <v>27.076599999999999</v>
      </c>
      <c r="C291" s="4">
        <f>26.6861 * CHOOSE(CONTROL!$C$10, $C$13, 100%, $E$13) + CHOOSE(CONTROL!$C$29, 0.0272, 0)</f>
        <v>26.7133</v>
      </c>
      <c r="D291" s="4">
        <f>37.9674 * CHOOSE(CONTROL!$C$10, $C$13, 100%, $E$13) + CHOOSE(CONTROL!$C$29, 0.0021, 0)</f>
        <v>37.969499999999996</v>
      </c>
      <c r="E291" s="4">
        <f>171.658293732549 * CHOOSE(CONTROL!$C$10, $C$13, 100%, $E$13) + CHOOSE(CONTROL!$C$29, 0.0021, 0)</f>
        <v>171.66039373254901</v>
      </c>
    </row>
    <row r="292" spans="1:5" ht="15">
      <c r="A292" s="14">
        <v>50010</v>
      </c>
      <c r="B292" s="4">
        <f>26.6379 * CHOOSE(CONTROL!$C$10, $C$13, 100%, $E$13) + CHOOSE(CONTROL!$C$29, 0.0272, 0)</f>
        <v>26.665099999999999</v>
      </c>
      <c r="C292" s="4">
        <f>26.2746 * CHOOSE(CONTROL!$C$10, $C$13, 100%, $E$13) + CHOOSE(CONTROL!$C$29, 0.0272, 0)</f>
        <v>26.3018</v>
      </c>
      <c r="D292" s="4">
        <f>36.6841 * CHOOSE(CONTROL!$C$10, $C$13, 100%, $E$13) + CHOOSE(CONTROL!$C$29, 0.0021, 0)</f>
        <v>36.686199999999999</v>
      </c>
      <c r="E292" s="4">
        <f>168.969897000056 * CHOOSE(CONTROL!$C$10, $C$13, 100%, $E$13) + CHOOSE(CONTROL!$C$29, 0.0021, 0)</f>
        <v>168.97199700005601</v>
      </c>
    </row>
    <row r="293" spans="1:5" ht="15">
      <c r="A293" s="14">
        <v>50041</v>
      </c>
      <c r="B293" s="4">
        <f>25.5593 * CHOOSE(CONTROL!$C$10, $C$13, 100%, $E$13) + CHOOSE(CONTROL!$C$29, 0.0272, 0)</f>
        <v>25.586500000000001</v>
      </c>
      <c r="C293" s="4">
        <f>25.196 * CHOOSE(CONTROL!$C$10, $C$13, 100%, $E$13) + CHOOSE(CONTROL!$C$29, 0.0272, 0)</f>
        <v>25.223200000000002</v>
      </c>
      <c r="D293" s="4">
        <f>35.2066 * CHOOSE(CONTROL!$C$10, $C$13, 100%, $E$13) + CHOOSE(CONTROL!$C$29, 0.0021, 0)</f>
        <v>35.2087</v>
      </c>
      <c r="E293" s="4">
        <f>161.931614196014 * CHOOSE(CONTROL!$C$10, $C$13, 100%, $E$13) + CHOOSE(CONTROL!$C$29, 0.0021, 0)</f>
        <v>161.93371419601402</v>
      </c>
    </row>
    <row r="294" spans="1:5" ht="15">
      <c r="A294" s="14">
        <v>50072</v>
      </c>
      <c r="B294" s="4">
        <f>26.1478 * CHOOSE(CONTROL!$C$10, $C$13, 100%, $E$13) + CHOOSE(CONTROL!$C$29, 0.0272, 0)</f>
        <v>26.175000000000001</v>
      </c>
      <c r="C294" s="4">
        <f>25.7845 * CHOOSE(CONTROL!$C$10, $C$13, 100%, $E$13) + CHOOSE(CONTROL!$C$29, 0.0272, 0)</f>
        <v>25.811700000000002</v>
      </c>
      <c r="D294" s="4">
        <f>36.3838 * CHOOSE(CONTROL!$C$10, $C$13, 100%, $E$13) + CHOOSE(CONTROL!$C$29, 0.0021, 0)</f>
        <v>36.385899999999999</v>
      </c>
      <c r="E294" s="4">
        <f>165.776508874855 * CHOOSE(CONTROL!$C$10, $C$13, 100%, $E$13) + CHOOSE(CONTROL!$C$29, 0.0021, 0)</f>
        <v>165.77860887485502</v>
      </c>
    </row>
    <row r="295" spans="1:5" ht="15">
      <c r="A295" s="14">
        <v>50100</v>
      </c>
      <c r="B295" s="4">
        <f>27.6933 * CHOOSE(CONTROL!$C$10, $C$13, 100%, $E$13) + CHOOSE(CONTROL!$C$29, 0.0272, 0)</f>
        <v>27.720500000000001</v>
      </c>
      <c r="C295" s="4">
        <f>27.33 * CHOOSE(CONTROL!$C$10, $C$13, 100%, $E$13) + CHOOSE(CONTROL!$C$29, 0.0272, 0)</f>
        <v>27.357199999999999</v>
      </c>
      <c r="D295" s="4">
        <f>38.2267 * CHOOSE(CONTROL!$C$10, $C$13, 100%, $E$13) + CHOOSE(CONTROL!$C$29, 0.0021, 0)</f>
        <v>38.2288</v>
      </c>
      <c r="E295" s="4">
        <f>175.873406631603 * CHOOSE(CONTROL!$C$10, $C$13, 100%, $E$13) + CHOOSE(CONTROL!$C$29, 0.0021, 0)</f>
        <v>175.875506631603</v>
      </c>
    </row>
    <row r="296" spans="1:5" ht="15">
      <c r="A296" s="14">
        <v>50131</v>
      </c>
      <c r="B296" s="4">
        <f>28.7914 * CHOOSE(CONTROL!$C$10, $C$13, 100%, $E$13) + CHOOSE(CONTROL!$C$29, 0.0272, 0)</f>
        <v>28.8186</v>
      </c>
      <c r="C296" s="4">
        <f>28.4281 * CHOOSE(CONTROL!$C$10, $C$13, 100%, $E$13) + CHOOSE(CONTROL!$C$29, 0.0272, 0)</f>
        <v>28.455300000000001</v>
      </c>
      <c r="D296" s="4">
        <f>39.2882 * CHOOSE(CONTROL!$C$10, $C$13, 100%, $E$13) + CHOOSE(CONTROL!$C$29, 0.0021, 0)</f>
        <v>39.290300000000002</v>
      </c>
      <c r="E296" s="4">
        <f>183.047387046627 * CHOOSE(CONTROL!$C$10, $C$13, 100%, $E$13) + CHOOSE(CONTROL!$C$29, 0.0021, 0)</f>
        <v>183.04948704662701</v>
      </c>
    </row>
    <row r="297" spans="1:5" ht="15">
      <c r="A297" s="14">
        <v>50161</v>
      </c>
      <c r="B297" s="4">
        <f>29.4623 * CHOOSE(CONTROL!$C$10, $C$13, 100%, $E$13) + CHOOSE(CONTROL!$C$29, 0.0272, 0)</f>
        <v>29.4895</v>
      </c>
      <c r="C297" s="4">
        <f>29.099 * CHOOSE(CONTROL!$C$10, $C$13, 100%, $E$13) + CHOOSE(CONTROL!$C$29, 0.0272, 0)</f>
        <v>29.126200000000001</v>
      </c>
      <c r="D297" s="4">
        <f>38.8687 * CHOOSE(CONTROL!$C$10, $C$13, 100%, $E$13) + CHOOSE(CONTROL!$C$29, 0.0021, 0)</f>
        <v>38.870799999999996</v>
      </c>
      <c r="E297" s="4">
        <f>187.430517143892 * CHOOSE(CONTROL!$C$10, $C$13, 100%, $E$13) + CHOOSE(CONTROL!$C$29, 0.0021, 0)</f>
        <v>187.432617143892</v>
      </c>
    </row>
    <row r="298" spans="1:5" ht="15">
      <c r="A298" s="14">
        <v>50192</v>
      </c>
      <c r="B298" s="4">
        <f>29.553 * CHOOSE(CONTROL!$C$10, $C$13, 100%, $E$13) + CHOOSE(CONTROL!$C$29, 0.0272, 0)</f>
        <v>29.580200000000001</v>
      </c>
      <c r="C298" s="4">
        <f>29.1898 * CHOOSE(CONTROL!$C$10, $C$13, 100%, $E$13) + CHOOSE(CONTROL!$C$29, 0.0272, 0)</f>
        <v>29.217000000000002</v>
      </c>
      <c r="D298" s="4">
        <f>39.2104 * CHOOSE(CONTROL!$C$10, $C$13, 100%, $E$13) + CHOOSE(CONTROL!$C$29, 0.0021, 0)</f>
        <v>39.212499999999999</v>
      </c>
      <c r="E298" s="4">
        <f>188.023572836416 * CHOOSE(CONTROL!$C$10, $C$13, 100%, $E$13) + CHOOSE(CONTROL!$C$29, 0.0021, 0)</f>
        <v>188.02567283641602</v>
      </c>
    </row>
    <row r="299" spans="1:5" ht="15">
      <c r="A299" s="14">
        <v>50222</v>
      </c>
      <c r="B299" s="4">
        <f>29.5439 * CHOOSE(CONTROL!$C$10, $C$13, 100%, $E$13) + CHOOSE(CONTROL!$C$29, 0.0272, 0)</f>
        <v>29.571100000000001</v>
      </c>
      <c r="C299" s="4">
        <f>29.1806 * CHOOSE(CONTROL!$C$10, $C$13, 100%, $E$13) + CHOOSE(CONTROL!$C$29, 0.0272, 0)</f>
        <v>29.207799999999999</v>
      </c>
      <c r="D299" s="4">
        <f>39.8268 * CHOOSE(CONTROL!$C$10, $C$13, 100%, $E$13) + CHOOSE(CONTROL!$C$29, 0.0021, 0)</f>
        <v>39.828899999999997</v>
      </c>
      <c r="E299" s="4">
        <f>187.963768901035 * CHOOSE(CONTROL!$C$10, $C$13, 100%, $E$13) + CHOOSE(CONTROL!$C$29, 0.0021, 0)</f>
        <v>187.96586890103501</v>
      </c>
    </row>
    <row r="300" spans="1:5" ht="15">
      <c r="A300" s="14">
        <v>50253</v>
      </c>
      <c r="B300" s="4">
        <f>30.2327 * CHOOSE(CONTROL!$C$10, $C$13, 100%, $E$13) + CHOOSE(CONTROL!$C$29, 0.0272, 0)</f>
        <v>30.259900000000002</v>
      </c>
      <c r="C300" s="4">
        <f>29.8694 * CHOOSE(CONTROL!$C$10, $C$13, 100%, $E$13) + CHOOSE(CONTROL!$C$29, 0.0272, 0)</f>
        <v>29.896599999999999</v>
      </c>
      <c r="D300" s="4">
        <f>39.4197 * CHOOSE(CONTROL!$C$10, $C$13, 100%, $E$13) + CHOOSE(CONTROL!$C$29, 0.0021, 0)</f>
        <v>39.421799999999998</v>
      </c>
      <c r="E300" s="4">
        <f>192.464015038421 * CHOOSE(CONTROL!$C$10, $C$13, 100%, $E$13) + CHOOSE(CONTROL!$C$29, 0.0021, 0)</f>
        <v>192.46611503842101</v>
      </c>
    </row>
    <row r="301" spans="1:5" ht="15">
      <c r="A301" s="14">
        <v>50284</v>
      </c>
      <c r="B301" s="4">
        <f>29.0587 * CHOOSE(CONTROL!$C$10, $C$13, 100%, $E$13) + CHOOSE(CONTROL!$C$29, 0.0272, 0)</f>
        <v>29.085900000000002</v>
      </c>
      <c r="C301" s="4">
        <f>28.6955 * CHOOSE(CONTROL!$C$10, $C$13, 100%, $E$13) + CHOOSE(CONTROL!$C$29, 0.0272, 0)</f>
        <v>28.7227</v>
      </c>
      <c r="D301" s="4">
        <f>39.2274 * CHOOSE(CONTROL!$C$10, $C$13, 100%, $E$13) + CHOOSE(CONTROL!$C$29, 0.0021, 0)</f>
        <v>39.229500000000002</v>
      </c>
      <c r="E301" s="4">
        <f>184.794160325867 * CHOOSE(CONTROL!$C$10, $C$13, 100%, $E$13) + CHOOSE(CONTROL!$C$29, 0.0021, 0)</f>
        <v>184.79626032586702</v>
      </c>
    </row>
    <row r="302" spans="1:5" ht="15">
      <c r="A302" s="14">
        <v>50314</v>
      </c>
      <c r="B302" s="4">
        <f>28.1189 * CHOOSE(CONTROL!$C$10, $C$13, 100%, $E$13) + CHOOSE(CONTROL!$C$29, 0.0272, 0)</f>
        <v>28.146100000000001</v>
      </c>
      <c r="C302" s="4">
        <f>27.7557 * CHOOSE(CONTROL!$C$10, $C$13, 100%, $E$13) + CHOOSE(CONTROL!$C$29, 0.0272, 0)</f>
        <v>27.782900000000001</v>
      </c>
      <c r="D302" s="4">
        <f>38.7124 * CHOOSE(CONTROL!$C$10, $C$13, 100%, $E$13) + CHOOSE(CONTROL!$C$29, 0.0021, 0)</f>
        <v>38.714500000000001</v>
      </c>
      <c r="E302" s="4">
        <f>178.654289626798 * CHOOSE(CONTROL!$C$10, $C$13, 100%, $E$13) + CHOOSE(CONTROL!$C$29, 0.0021, 0)</f>
        <v>178.65638962679802</v>
      </c>
    </row>
    <row r="303" spans="1:5" ht="15">
      <c r="A303" s="14">
        <v>50345</v>
      </c>
      <c r="B303" s="4">
        <f>27.5136 * CHOOSE(CONTROL!$C$10, $C$13, 100%, $E$13) + CHOOSE(CONTROL!$C$29, 0.0272, 0)</f>
        <v>27.540800000000001</v>
      </c>
      <c r="C303" s="4">
        <f>27.1504 * CHOOSE(CONTROL!$C$10, $C$13, 100%, $E$13) + CHOOSE(CONTROL!$C$29, 0.0272, 0)</f>
        <v>27.177600000000002</v>
      </c>
      <c r="D303" s="4">
        <f>38.5353 * CHOOSE(CONTROL!$C$10, $C$13, 100%, $E$13) + CHOOSE(CONTROL!$C$29, 0.0021, 0)</f>
        <v>38.537399999999998</v>
      </c>
      <c r="E303" s="4">
        <f>174.69975439976 * CHOOSE(CONTROL!$C$10, $C$13, 100%, $E$13) + CHOOSE(CONTROL!$C$29, 0.0021, 0)</f>
        <v>174.70185439976001</v>
      </c>
    </row>
    <row r="304" spans="1:5" ht="15">
      <c r="A304" s="14">
        <v>50375</v>
      </c>
      <c r="B304" s="4">
        <f>27.0949 * CHOOSE(CONTROL!$C$10, $C$13, 100%, $E$13) + CHOOSE(CONTROL!$C$29, 0.0272, 0)</f>
        <v>27.1221</v>
      </c>
      <c r="C304" s="4">
        <f>26.7316 * CHOOSE(CONTROL!$C$10, $C$13, 100%, $E$13) + CHOOSE(CONTROL!$C$29, 0.0272, 0)</f>
        <v>26.758800000000001</v>
      </c>
      <c r="D304" s="4">
        <f>37.2318 * CHOOSE(CONTROL!$C$10, $C$13, 100%, $E$13) + CHOOSE(CONTROL!$C$29, 0.0021, 0)</f>
        <v>37.233899999999998</v>
      </c>
      <c r="E304" s="4">
        <f>171.9637243561 * CHOOSE(CONTROL!$C$10, $C$13, 100%, $E$13) + CHOOSE(CONTROL!$C$29, 0.0021, 0)</f>
        <v>171.9658243561</v>
      </c>
    </row>
    <row r="305" spans="1:5" ht="15">
      <c r="A305" s="13">
        <v>50436</v>
      </c>
      <c r="B305" s="4">
        <f>25.9972 * CHOOSE(CONTROL!$C$10, $C$13, 100%, $E$13) + CHOOSE(CONTROL!$C$29, 0.0272, 0)</f>
        <v>26.0244</v>
      </c>
      <c r="C305" s="4">
        <f>25.6339 * CHOOSE(CONTROL!$C$10, $C$13, 100%, $E$13) + CHOOSE(CONTROL!$C$29, 0.0272, 0)</f>
        <v>25.661100000000001</v>
      </c>
      <c r="D305" s="4">
        <f>35.7311 * CHOOSE(CONTROL!$C$10, $C$13, 100%, $E$13) + CHOOSE(CONTROL!$C$29, 0.0021, 0)</f>
        <v>35.733199999999997</v>
      </c>
      <c r="E305" s="4">
        <f>164.80073647753 * CHOOSE(CONTROL!$C$10, $C$13, 100%, $E$13) + CHOOSE(CONTROL!$C$29, 0.0021, 0)</f>
        <v>164.80283647753001</v>
      </c>
    </row>
    <row r="306" spans="1:5" ht="15">
      <c r="A306" s="13">
        <v>50464</v>
      </c>
      <c r="B306" s="4">
        <f>26.5961 * CHOOSE(CONTROL!$C$10, $C$13, 100%, $E$13) + CHOOSE(CONTROL!$C$29, 0.0272, 0)</f>
        <v>26.6233</v>
      </c>
      <c r="C306" s="4">
        <f>26.2329 * CHOOSE(CONTROL!$C$10, $C$13, 100%, $E$13) + CHOOSE(CONTROL!$C$29, 0.0272, 0)</f>
        <v>26.260100000000001</v>
      </c>
      <c r="D306" s="4">
        <f>36.9268 * CHOOSE(CONTROL!$C$10, $C$13, 100%, $E$13) + CHOOSE(CONTROL!$C$29, 0.0021, 0)</f>
        <v>36.928899999999999</v>
      </c>
      <c r="E306" s="4">
        <f>168.713755426285 * CHOOSE(CONTROL!$C$10, $C$13, 100%, $E$13) + CHOOSE(CONTROL!$C$29, 0.0021, 0)</f>
        <v>168.715855426285</v>
      </c>
    </row>
    <row r="307" spans="1:5" ht="15">
      <c r="A307" s="13">
        <v>50495</v>
      </c>
      <c r="B307" s="4">
        <f>28.1689 * CHOOSE(CONTROL!$C$10, $C$13, 100%, $E$13) + CHOOSE(CONTROL!$C$29, 0.0272, 0)</f>
        <v>28.196100000000001</v>
      </c>
      <c r="C307" s="4">
        <f>27.8056 * CHOOSE(CONTROL!$C$10, $C$13, 100%, $E$13) + CHOOSE(CONTROL!$C$29, 0.0272, 0)</f>
        <v>27.832799999999999</v>
      </c>
      <c r="D307" s="4">
        <f>38.7987 * CHOOSE(CONTROL!$C$10, $C$13, 100%, $E$13) + CHOOSE(CONTROL!$C$29, 0.0021, 0)</f>
        <v>38.800799999999995</v>
      </c>
      <c r="E307" s="4">
        <f>178.989551136171 * CHOOSE(CONTROL!$C$10, $C$13, 100%, $E$13) + CHOOSE(CONTROL!$C$29, 0.0021, 0)</f>
        <v>178.99165113617101</v>
      </c>
    </row>
    <row r="308" spans="1:5" ht="15">
      <c r="A308" s="13">
        <v>50525</v>
      </c>
      <c r="B308" s="4">
        <f>29.2864 * CHOOSE(CONTROL!$C$10, $C$13, 100%, $E$13) + CHOOSE(CONTROL!$C$29, 0.0272, 0)</f>
        <v>29.313600000000001</v>
      </c>
      <c r="C308" s="4">
        <f>28.9231 * CHOOSE(CONTROL!$C$10, $C$13, 100%, $E$13) + CHOOSE(CONTROL!$C$29, 0.0272, 0)</f>
        <v>28.950300000000002</v>
      </c>
      <c r="D308" s="4">
        <f>39.8769 * CHOOSE(CONTROL!$C$10, $C$13, 100%, $E$13) + CHOOSE(CONTROL!$C$29, 0.0021, 0)</f>
        <v>39.878999999999998</v>
      </c>
      <c r="E308" s="4">
        <f>186.290640931029 * CHOOSE(CONTROL!$C$10, $C$13, 100%, $E$13) + CHOOSE(CONTROL!$C$29, 0.0021, 0)</f>
        <v>186.29274093102902</v>
      </c>
    </row>
    <row r="309" spans="1:5" ht="15">
      <c r="A309" s="13">
        <v>50556</v>
      </c>
      <c r="B309" s="4">
        <f>29.9691 * CHOOSE(CONTROL!$C$10, $C$13, 100%, $E$13) + CHOOSE(CONTROL!$C$29, 0.0272, 0)</f>
        <v>29.996300000000002</v>
      </c>
      <c r="C309" s="4">
        <f>29.6059 * CHOOSE(CONTROL!$C$10, $C$13, 100%, $E$13) + CHOOSE(CONTROL!$C$29, 0.0272, 0)</f>
        <v>29.633099999999999</v>
      </c>
      <c r="D309" s="4">
        <f>39.4508 * CHOOSE(CONTROL!$C$10, $C$13, 100%, $E$13) + CHOOSE(CONTROL!$C$29, 0.0021, 0)</f>
        <v>39.4529</v>
      </c>
      <c r="E309" s="4">
        <f>190.751431812986 * CHOOSE(CONTROL!$C$10, $C$13, 100%, $E$13) + CHOOSE(CONTROL!$C$29, 0.0021, 0)</f>
        <v>190.75353181298601</v>
      </c>
    </row>
    <row r="310" spans="1:5" ht="15">
      <c r="A310" s="13">
        <v>50586</v>
      </c>
      <c r="B310" s="4">
        <f>30.0615 * CHOOSE(CONTROL!$C$10, $C$13, 100%, $E$13) + CHOOSE(CONTROL!$C$29, 0.0272, 0)</f>
        <v>30.088699999999999</v>
      </c>
      <c r="C310" s="4">
        <f>29.6982 * CHOOSE(CONTROL!$C$10, $C$13, 100%, $E$13) + CHOOSE(CONTROL!$C$29, 0.0272, 0)</f>
        <v>29.7254</v>
      </c>
      <c r="D310" s="4">
        <f>39.7978 * CHOOSE(CONTROL!$C$10, $C$13, 100%, $E$13) + CHOOSE(CONTROL!$C$29, 0.0021, 0)</f>
        <v>39.799900000000001</v>
      </c>
      <c r="E310" s="4">
        <f>191.354995331977 * CHOOSE(CONTROL!$C$10, $C$13, 100%, $E$13) + CHOOSE(CONTROL!$C$29, 0.0021, 0)</f>
        <v>191.35709533197701</v>
      </c>
    </row>
    <row r="311" spans="1:5" ht="15">
      <c r="A311" s="13">
        <v>50617</v>
      </c>
      <c r="B311" s="4">
        <f>30.0522 * CHOOSE(CONTROL!$C$10, $C$13, 100%, $E$13) + CHOOSE(CONTROL!$C$29, 0.0272, 0)</f>
        <v>30.0794</v>
      </c>
      <c r="C311" s="4">
        <f>29.6889 * CHOOSE(CONTROL!$C$10, $C$13, 100%, $E$13) + CHOOSE(CONTROL!$C$29, 0.0272, 0)</f>
        <v>29.716100000000001</v>
      </c>
      <c r="D311" s="4">
        <f>40.4239 * CHOOSE(CONTROL!$C$10, $C$13, 100%, $E$13) + CHOOSE(CONTROL!$C$29, 0.0021, 0)</f>
        <v>40.426000000000002</v>
      </c>
      <c r="E311" s="4">
        <f>191.294131783844 * CHOOSE(CONTROL!$C$10, $C$13, 100%, $E$13) + CHOOSE(CONTROL!$C$29, 0.0021, 0)</f>
        <v>191.29623178384401</v>
      </c>
    </row>
    <row r="312" spans="1:5" ht="15">
      <c r="A312" s="13">
        <v>50648</v>
      </c>
      <c r="B312" s="4">
        <f>30.7532 * CHOOSE(CONTROL!$C$10, $C$13, 100%, $E$13) + CHOOSE(CONTROL!$C$29, 0.0272, 0)</f>
        <v>30.7804</v>
      </c>
      <c r="C312" s="4">
        <f>30.3899 * CHOOSE(CONTROL!$C$10, $C$13, 100%, $E$13) + CHOOSE(CONTROL!$C$29, 0.0272, 0)</f>
        <v>30.417100000000001</v>
      </c>
      <c r="D312" s="4">
        <f>40.0104 * CHOOSE(CONTROL!$C$10, $C$13, 100%, $E$13) + CHOOSE(CONTROL!$C$29, 0.0021, 0)</f>
        <v>40.012499999999996</v>
      </c>
      <c r="E312" s="4">
        <f>195.874113780896 * CHOOSE(CONTROL!$C$10, $C$13, 100%, $E$13) + CHOOSE(CONTROL!$C$29, 0.0021, 0)</f>
        <v>195.87621378089602</v>
      </c>
    </row>
    <row r="313" spans="1:5" ht="15">
      <c r="A313" s="13">
        <v>50678</v>
      </c>
      <c r="B313" s="4">
        <f>29.5585 * CHOOSE(CONTROL!$C$10, $C$13, 100%, $E$13) + CHOOSE(CONTROL!$C$29, 0.0272, 0)</f>
        <v>29.585699999999999</v>
      </c>
      <c r="C313" s="4">
        <f>29.1952 * CHOOSE(CONTROL!$C$10, $C$13, 100%, $E$13) + CHOOSE(CONTROL!$C$29, 0.0272, 0)</f>
        <v>29.2224</v>
      </c>
      <c r="D313" s="4">
        <f>39.8151 * CHOOSE(CONTROL!$C$10, $C$13, 100%, $E$13) + CHOOSE(CONTROL!$C$29, 0.0021, 0)</f>
        <v>39.8172</v>
      </c>
      <c r="E313" s="4">
        <f>188.068363732764 * CHOOSE(CONTROL!$C$10, $C$13, 100%, $E$13) + CHOOSE(CONTROL!$C$29, 0.0021, 0)</f>
        <v>188.07046373276401</v>
      </c>
    </row>
    <row r="314" spans="1:5" ht="15">
      <c r="A314" s="13">
        <v>50709</v>
      </c>
      <c r="B314" s="4">
        <f>28.6021 * CHOOSE(CONTROL!$C$10, $C$13, 100%, $E$13) + CHOOSE(CONTROL!$C$29, 0.0272, 0)</f>
        <v>28.629300000000001</v>
      </c>
      <c r="C314" s="4">
        <f>28.2388 * CHOOSE(CONTROL!$C$10, $C$13, 100%, $E$13) + CHOOSE(CONTROL!$C$29, 0.0272, 0)</f>
        <v>28.266000000000002</v>
      </c>
      <c r="D314" s="4">
        <f>39.292 * CHOOSE(CONTROL!$C$10, $C$13, 100%, $E$13) + CHOOSE(CONTROL!$C$29, 0.0021, 0)</f>
        <v>39.2941</v>
      </c>
      <c r="E314" s="4">
        <f>181.819706124383 * CHOOSE(CONTROL!$C$10, $C$13, 100%, $E$13) + CHOOSE(CONTROL!$C$29, 0.0021, 0)</f>
        <v>181.82180612438302</v>
      </c>
    </row>
    <row r="315" spans="1:5" ht="15">
      <c r="A315" s="13">
        <v>50739</v>
      </c>
      <c r="B315" s="4">
        <f>27.9861 * CHOOSE(CONTROL!$C$10, $C$13, 100%, $E$13) + CHOOSE(CONTROL!$C$29, 0.0272, 0)</f>
        <v>28.013300000000001</v>
      </c>
      <c r="C315" s="4">
        <f>27.6228 * CHOOSE(CONTROL!$C$10, $C$13, 100%, $E$13) + CHOOSE(CONTROL!$C$29, 0.0272, 0)</f>
        <v>27.650000000000002</v>
      </c>
      <c r="D315" s="4">
        <f>39.1122 * CHOOSE(CONTROL!$C$10, $C$13, 100%, $E$13) + CHOOSE(CONTROL!$C$29, 0.0021, 0)</f>
        <v>39.1143</v>
      </c>
      <c r="E315" s="4">
        <f>177.79510400405 * CHOOSE(CONTROL!$C$10, $C$13, 100%, $E$13) + CHOOSE(CONTROL!$C$29, 0.0021, 0)</f>
        <v>177.79720400405</v>
      </c>
    </row>
    <row r="316" spans="1:5" ht="15">
      <c r="A316" s="13">
        <v>50770</v>
      </c>
      <c r="B316" s="4">
        <f>27.5599 * CHOOSE(CONTROL!$C$10, $C$13, 100%, $E$13) + CHOOSE(CONTROL!$C$29, 0.0272, 0)</f>
        <v>27.5871</v>
      </c>
      <c r="C316" s="4">
        <f>27.1966 * CHOOSE(CONTROL!$C$10, $C$13, 100%, $E$13) + CHOOSE(CONTROL!$C$29, 0.0272, 0)</f>
        <v>27.223800000000001</v>
      </c>
      <c r="D316" s="4">
        <f>37.7882 * CHOOSE(CONTROL!$C$10, $C$13, 100%, $E$13) + CHOOSE(CONTROL!$C$29, 0.0021, 0)</f>
        <v>37.790300000000002</v>
      </c>
      <c r="E316" s="4">
        <f>175.010596676939 * CHOOSE(CONTROL!$C$10, $C$13, 100%, $E$13) + CHOOSE(CONTROL!$C$29, 0.0021, 0)</f>
        <v>175.01269667693902</v>
      </c>
    </row>
    <row r="317" spans="1:5" ht="15">
      <c r="A317" s="13">
        <v>50801</v>
      </c>
      <c r="B317" s="4">
        <f>26.4429 * CHOOSE(CONTROL!$C$10, $C$13, 100%, $E$13) + CHOOSE(CONTROL!$C$29, 0.0272, 0)</f>
        <v>26.470100000000002</v>
      </c>
      <c r="C317" s="4">
        <f>26.0796 * CHOOSE(CONTROL!$C$10, $C$13, 100%, $E$13) + CHOOSE(CONTROL!$C$29, 0.0272, 0)</f>
        <v>26.1068</v>
      </c>
      <c r="D317" s="4">
        <f>36.2638 * CHOOSE(CONTROL!$C$10, $C$13, 100%, $E$13) + CHOOSE(CONTROL!$C$29, 0.0021, 0)</f>
        <v>36.265900000000002</v>
      </c>
      <c r="E317" s="4">
        <f>167.720694185514 * CHOOSE(CONTROL!$C$10, $C$13, 100%, $E$13) + CHOOSE(CONTROL!$C$29, 0.0021, 0)</f>
        <v>167.722794185514</v>
      </c>
    </row>
    <row r="318" spans="1:5" ht="15">
      <c r="A318" s="13">
        <v>50829</v>
      </c>
      <c r="B318" s="4">
        <f>27.0524 * CHOOSE(CONTROL!$C$10, $C$13, 100%, $E$13) + CHOOSE(CONTROL!$C$29, 0.0272, 0)</f>
        <v>27.079599999999999</v>
      </c>
      <c r="C318" s="4">
        <f>26.6891 * CHOOSE(CONTROL!$C$10, $C$13, 100%, $E$13) + CHOOSE(CONTROL!$C$29, 0.0272, 0)</f>
        <v>26.7163</v>
      </c>
      <c r="D318" s="4">
        <f>37.4784 * CHOOSE(CONTROL!$C$10, $C$13, 100%, $E$13) + CHOOSE(CONTROL!$C$29, 0.0021, 0)</f>
        <v>37.480499999999999</v>
      </c>
      <c r="E318" s="4">
        <f>171.703044437546 * CHOOSE(CONTROL!$C$10, $C$13, 100%, $E$13) + CHOOSE(CONTROL!$C$29, 0.0021, 0)</f>
        <v>171.70514443754601</v>
      </c>
    </row>
    <row r="319" spans="1:5" ht="15">
      <c r="A319" s="13">
        <v>50860</v>
      </c>
      <c r="B319" s="4">
        <f>28.6529 * CHOOSE(CONTROL!$C$10, $C$13, 100%, $E$13) + CHOOSE(CONTROL!$C$29, 0.0272, 0)</f>
        <v>28.680099999999999</v>
      </c>
      <c r="C319" s="4">
        <f>28.2897 * CHOOSE(CONTROL!$C$10, $C$13, 100%, $E$13) + CHOOSE(CONTROL!$C$29, 0.0272, 0)</f>
        <v>28.3169</v>
      </c>
      <c r="D319" s="4">
        <f>39.3796 * CHOOSE(CONTROL!$C$10, $C$13, 100%, $E$13) + CHOOSE(CONTROL!$C$29, 0.0021, 0)</f>
        <v>39.381700000000002</v>
      </c>
      <c r="E319" s="4">
        <f>182.160907834325 * CHOOSE(CONTROL!$C$10, $C$13, 100%, $E$13) + CHOOSE(CONTROL!$C$29, 0.0021, 0)</f>
        <v>182.16300783432501</v>
      </c>
    </row>
    <row r="320" spans="1:5" ht="15">
      <c r="A320" s="13">
        <v>50890</v>
      </c>
      <c r="B320" s="4">
        <f>29.7902 * CHOOSE(CONTROL!$C$10, $C$13, 100%, $E$13) + CHOOSE(CONTROL!$C$29, 0.0272, 0)</f>
        <v>29.817399999999999</v>
      </c>
      <c r="C320" s="4">
        <f>29.4269 * CHOOSE(CONTROL!$C$10, $C$13, 100%, $E$13) + CHOOSE(CONTROL!$C$29, 0.0272, 0)</f>
        <v>29.4541</v>
      </c>
      <c r="D320" s="4">
        <f>40.4748 * CHOOSE(CONTROL!$C$10, $C$13, 100%, $E$13) + CHOOSE(CONTROL!$C$29, 0.0021, 0)</f>
        <v>40.476900000000001</v>
      </c>
      <c r="E320" s="4">
        <f>189.591359147091 * CHOOSE(CONTROL!$C$10, $C$13, 100%, $E$13) + CHOOSE(CONTROL!$C$29, 0.0021, 0)</f>
        <v>189.59345914709101</v>
      </c>
    </row>
    <row r="321" spans="1:5" ht="15">
      <c r="A321" s="13">
        <v>50921</v>
      </c>
      <c r="B321" s="4">
        <f>30.485 * CHOOSE(CONTROL!$C$10, $C$13, 100%, $E$13) + CHOOSE(CONTROL!$C$29, 0.0272, 0)</f>
        <v>30.5122</v>
      </c>
      <c r="C321" s="4">
        <f>30.1217 * CHOOSE(CONTROL!$C$10, $C$13, 100%, $E$13) + CHOOSE(CONTROL!$C$29, 0.0272, 0)</f>
        <v>30.148900000000001</v>
      </c>
      <c r="D321" s="4">
        <f>40.0421 * CHOOSE(CONTROL!$C$10, $C$13, 100%, $E$13) + CHOOSE(CONTROL!$C$29, 0.0021, 0)</f>
        <v>40.044199999999996</v>
      </c>
      <c r="E321" s="4">
        <f>194.131186816127 * CHOOSE(CONTROL!$C$10, $C$13, 100%, $E$13) + CHOOSE(CONTROL!$C$29, 0.0021, 0)</f>
        <v>194.13328681612703</v>
      </c>
    </row>
    <row r="322" spans="1:5" ht="15">
      <c r="A322" s="13">
        <v>50951</v>
      </c>
      <c r="B322" s="4">
        <f>30.579 * CHOOSE(CONTROL!$C$10, $C$13, 100%, $E$13) + CHOOSE(CONTROL!$C$29, 0.0272, 0)</f>
        <v>30.606200000000001</v>
      </c>
      <c r="C322" s="4">
        <f>30.2157 * CHOOSE(CONTROL!$C$10, $C$13, 100%, $E$13) + CHOOSE(CONTROL!$C$29, 0.0272, 0)</f>
        <v>30.242899999999999</v>
      </c>
      <c r="D322" s="4">
        <f>40.3945 * CHOOSE(CONTROL!$C$10, $C$13, 100%, $E$13) + CHOOSE(CONTROL!$C$29, 0.0021, 0)</f>
        <v>40.396599999999999</v>
      </c>
      <c r="E322" s="4">
        <f>194.74544434042 * CHOOSE(CONTROL!$C$10, $C$13, 100%, $E$13) + CHOOSE(CONTROL!$C$29, 0.0021, 0)</f>
        <v>194.74754434042001</v>
      </c>
    </row>
    <row r="323" spans="1:5" ht="15">
      <c r="A323" s="13">
        <v>50982</v>
      </c>
      <c r="B323" s="4">
        <f>30.5695 * CHOOSE(CONTROL!$C$10, $C$13, 100%, $E$13) + CHOOSE(CONTROL!$C$29, 0.0272, 0)</f>
        <v>30.596700000000002</v>
      </c>
      <c r="C323" s="4">
        <f>30.2062 * CHOOSE(CONTROL!$C$10, $C$13, 100%, $E$13) + CHOOSE(CONTROL!$C$29, 0.0272, 0)</f>
        <v>30.2334</v>
      </c>
      <c r="D323" s="4">
        <f>41.0305 * CHOOSE(CONTROL!$C$10, $C$13, 100%, $E$13) + CHOOSE(CONTROL!$C$29, 0.0021, 0)</f>
        <v>41.032600000000002</v>
      </c>
      <c r="E323" s="4">
        <f>194.683502405197 * CHOOSE(CONTROL!$C$10, $C$13, 100%, $E$13) + CHOOSE(CONTROL!$C$29, 0.0021, 0)</f>
        <v>194.68560240519702</v>
      </c>
    </row>
    <row r="324" spans="1:5" ht="15">
      <c r="A324" s="13">
        <v>51013</v>
      </c>
      <c r="B324" s="4">
        <f>31.2829 * CHOOSE(CONTROL!$C$10, $C$13, 100%, $E$13) + CHOOSE(CONTROL!$C$29, 0.0272, 0)</f>
        <v>31.310100000000002</v>
      </c>
      <c r="C324" s="4">
        <f>30.9196 * CHOOSE(CONTROL!$C$10, $C$13, 100%, $E$13) + CHOOSE(CONTROL!$C$29, 0.0272, 0)</f>
        <v>30.9468</v>
      </c>
      <c r="D324" s="4">
        <f>40.6105 * CHOOSE(CONTROL!$C$10, $C$13, 100%, $E$13) + CHOOSE(CONTROL!$C$29, 0.0021, 0)</f>
        <v>40.6126</v>
      </c>
      <c r="E324" s="4">
        <f>199.344633030711 * CHOOSE(CONTROL!$C$10, $C$13, 100%, $E$13) + CHOOSE(CONTROL!$C$29, 0.0021, 0)</f>
        <v>199.34673303071102</v>
      </c>
    </row>
    <row r="325" spans="1:5" ht="15">
      <c r="A325" s="13">
        <v>51043</v>
      </c>
      <c r="B325" s="4">
        <f>30.0671 * CHOOSE(CONTROL!$C$10, $C$13, 100%, $E$13) + CHOOSE(CONTROL!$C$29, 0.0272, 0)</f>
        <v>30.0943</v>
      </c>
      <c r="C325" s="4">
        <f>29.7038 * CHOOSE(CONTROL!$C$10, $C$13, 100%, $E$13) + CHOOSE(CONTROL!$C$29, 0.0272, 0)</f>
        <v>29.731000000000002</v>
      </c>
      <c r="D325" s="4">
        <f>40.4121 * CHOOSE(CONTROL!$C$10, $C$13, 100%, $E$13) + CHOOSE(CONTROL!$C$29, 0.0021, 0)</f>
        <v>40.414200000000001</v>
      </c>
      <c r="E325" s="4">
        <f>191.40057983839 * CHOOSE(CONTROL!$C$10, $C$13, 100%, $E$13) + CHOOSE(CONTROL!$C$29, 0.0021, 0)</f>
        <v>191.40267983839001</v>
      </c>
    </row>
    <row r="326" spans="1:5" ht="15">
      <c r="A326" s="13">
        <v>51074</v>
      </c>
      <c r="B326" s="4">
        <f>29.0938 * CHOOSE(CONTROL!$C$10, $C$13, 100%, $E$13) + CHOOSE(CONTROL!$C$29, 0.0272, 0)</f>
        <v>29.121000000000002</v>
      </c>
      <c r="C326" s="4">
        <f>28.7305 * CHOOSE(CONTROL!$C$10, $C$13, 100%, $E$13) + CHOOSE(CONTROL!$C$29, 0.0272, 0)</f>
        <v>28.7577</v>
      </c>
      <c r="D326" s="4">
        <f>39.8807 * CHOOSE(CONTROL!$C$10, $C$13, 100%, $E$13) + CHOOSE(CONTROL!$C$29, 0.0021, 0)</f>
        <v>39.882799999999996</v>
      </c>
      <c r="E326" s="4">
        <f>185.041207822184 * CHOOSE(CONTROL!$C$10, $C$13, 100%, $E$13) + CHOOSE(CONTROL!$C$29, 0.0021, 0)</f>
        <v>185.043307822184</v>
      </c>
    </row>
    <row r="327" spans="1:5" ht="15">
      <c r="A327" s="13">
        <v>51104</v>
      </c>
      <c r="B327" s="4">
        <f>28.4669 * CHOOSE(CONTROL!$C$10, $C$13, 100%, $E$13) + CHOOSE(CONTROL!$C$29, 0.0272, 0)</f>
        <v>28.4941</v>
      </c>
      <c r="C327" s="4">
        <f>28.1036 * CHOOSE(CONTROL!$C$10, $C$13, 100%, $E$13) + CHOOSE(CONTROL!$C$29, 0.0272, 0)</f>
        <v>28.130800000000001</v>
      </c>
      <c r="D327" s="4">
        <f>39.6981 * CHOOSE(CONTROL!$C$10, $C$13, 100%, $E$13) + CHOOSE(CONTROL!$C$29, 0.0021, 0)</f>
        <v>39.700199999999995</v>
      </c>
      <c r="E327" s="4">
        <f>180.945297355578 * CHOOSE(CONTROL!$C$10, $C$13, 100%, $E$13) + CHOOSE(CONTROL!$C$29, 0.0021, 0)</f>
        <v>180.947397355578</v>
      </c>
    </row>
    <row r="328" spans="1:5" ht="15">
      <c r="A328" s="13">
        <v>51135</v>
      </c>
      <c r="B328" s="4">
        <f>28.0332 * CHOOSE(CONTROL!$C$10, $C$13, 100%, $E$13) + CHOOSE(CONTROL!$C$29, 0.0272, 0)</f>
        <v>28.060400000000001</v>
      </c>
      <c r="C328" s="4">
        <f>27.6699 * CHOOSE(CONTROL!$C$10, $C$13, 100%, $E$13) + CHOOSE(CONTROL!$C$29, 0.0272, 0)</f>
        <v>27.697099999999999</v>
      </c>
      <c r="D328" s="4">
        <f>38.3533 * CHOOSE(CONTROL!$C$10, $C$13, 100%, $E$13) + CHOOSE(CONTROL!$C$29, 0.0021, 0)</f>
        <v>38.355399999999996</v>
      </c>
      <c r="E328" s="4">
        <f>178.111453819136 * CHOOSE(CONTROL!$C$10, $C$13, 100%, $E$13) + CHOOSE(CONTROL!$C$29, 0.0021, 0)</f>
        <v>178.113553819136</v>
      </c>
    </row>
    <row r="329" spans="1:5" ht="15">
      <c r="A329" s="13">
        <v>51166</v>
      </c>
      <c r="B329" s="4">
        <f>26.8964 * CHOOSE(CONTROL!$C$10, $C$13, 100%, $E$13) + CHOOSE(CONTROL!$C$29, 0.0272, 0)</f>
        <v>26.9236</v>
      </c>
      <c r="C329" s="4">
        <f>26.5331 * CHOOSE(CONTROL!$C$10, $C$13, 100%, $E$13) + CHOOSE(CONTROL!$C$29, 0.0272, 0)</f>
        <v>26.560300000000002</v>
      </c>
      <c r="D329" s="4">
        <f>36.805 * CHOOSE(CONTROL!$C$10, $C$13, 100%, $E$13) + CHOOSE(CONTROL!$C$29, 0.0021, 0)</f>
        <v>36.807099999999998</v>
      </c>
      <c r="E329" s="4">
        <f>170.692388027685 * CHOOSE(CONTROL!$C$10, $C$13, 100%, $E$13) + CHOOSE(CONTROL!$C$29, 0.0021, 0)</f>
        <v>170.69448802768503</v>
      </c>
    </row>
    <row r="330" spans="1:5" ht="15">
      <c r="A330" s="13">
        <v>51194</v>
      </c>
      <c r="B330" s="4">
        <f>27.5167 * CHOOSE(CONTROL!$C$10, $C$13, 100%, $E$13) + CHOOSE(CONTROL!$C$29, 0.0272, 0)</f>
        <v>27.543900000000001</v>
      </c>
      <c r="C330" s="4">
        <f>27.1534 * CHOOSE(CONTROL!$C$10, $C$13, 100%, $E$13) + CHOOSE(CONTROL!$C$29, 0.0272, 0)</f>
        <v>27.180600000000002</v>
      </c>
      <c r="D330" s="4">
        <f>38.0386 * CHOOSE(CONTROL!$C$10, $C$13, 100%, $E$13) + CHOOSE(CONTROL!$C$29, 0.0021, 0)</f>
        <v>38.040700000000001</v>
      </c>
      <c r="E330" s="4">
        <f>174.745298002705 * CHOOSE(CONTROL!$C$10, $C$13, 100%, $E$13) + CHOOSE(CONTROL!$C$29, 0.0021, 0)</f>
        <v>174.74739800270501</v>
      </c>
    </row>
    <row r="331" spans="1:5" ht="15">
      <c r="A331" s="13">
        <v>51226</v>
      </c>
      <c r="B331" s="4">
        <f>29.1455 * CHOOSE(CONTROL!$C$10, $C$13, 100%, $E$13) + CHOOSE(CONTROL!$C$29, 0.0272, 0)</f>
        <v>29.172699999999999</v>
      </c>
      <c r="C331" s="4">
        <f>28.7822 * CHOOSE(CONTROL!$C$10, $C$13, 100%, $E$13) + CHOOSE(CONTROL!$C$29, 0.0272, 0)</f>
        <v>28.8094</v>
      </c>
      <c r="D331" s="4">
        <f>39.9698 * CHOOSE(CONTROL!$C$10, $C$13, 100%, $E$13) + CHOOSE(CONTROL!$C$29, 0.0021, 0)</f>
        <v>39.971899999999998</v>
      </c>
      <c r="E331" s="4">
        <f>185.388454981826 * CHOOSE(CONTROL!$C$10, $C$13, 100%, $E$13) + CHOOSE(CONTROL!$C$29, 0.0021, 0)</f>
        <v>185.390554981826</v>
      </c>
    </row>
    <row r="332" spans="1:5" ht="15">
      <c r="A332" s="13">
        <v>51256</v>
      </c>
      <c r="B332" s="4">
        <f>30.3028 * CHOOSE(CONTROL!$C$10, $C$13, 100%, $E$13) + CHOOSE(CONTROL!$C$29, 0.0272, 0)</f>
        <v>30.330000000000002</v>
      </c>
      <c r="C332" s="4">
        <f>29.9396 * CHOOSE(CONTROL!$C$10, $C$13, 100%, $E$13) + CHOOSE(CONTROL!$C$29, 0.0272, 0)</f>
        <v>29.966799999999999</v>
      </c>
      <c r="D332" s="4">
        <f>41.0822 * CHOOSE(CONTROL!$C$10, $C$13, 100%, $E$13) + CHOOSE(CONTROL!$C$29, 0.0021, 0)</f>
        <v>41.084299999999999</v>
      </c>
      <c r="E332" s="4">
        <f>192.950559854208 * CHOOSE(CONTROL!$C$10, $C$13, 100%, $E$13) + CHOOSE(CONTROL!$C$29, 0.0021, 0)</f>
        <v>192.95265985420801</v>
      </c>
    </row>
    <row r="333" spans="1:5" ht="15">
      <c r="A333" s="13">
        <v>51287</v>
      </c>
      <c r="B333" s="4">
        <f>31.0099 * CHOOSE(CONTROL!$C$10, $C$13, 100%, $E$13) + CHOOSE(CONTROL!$C$29, 0.0272, 0)</f>
        <v>31.037099999999999</v>
      </c>
      <c r="C333" s="4">
        <f>30.6467 * CHOOSE(CONTROL!$C$10, $C$13, 100%, $E$13) + CHOOSE(CONTROL!$C$29, 0.0272, 0)</f>
        <v>30.6739</v>
      </c>
      <c r="D333" s="4">
        <f>40.6426 * CHOOSE(CONTROL!$C$10, $C$13, 100%, $E$13) + CHOOSE(CONTROL!$C$29, 0.0021, 0)</f>
        <v>40.6447</v>
      </c>
      <c r="E333" s="4">
        <f>197.570824692873 * CHOOSE(CONTROL!$C$10, $C$13, 100%, $E$13) + CHOOSE(CONTROL!$C$29, 0.0021, 0)</f>
        <v>197.57292469287302</v>
      </c>
    </row>
    <row r="334" spans="1:5" ht="15">
      <c r="A334" s="13">
        <v>51317</v>
      </c>
      <c r="B334" s="4">
        <f>31.1056 * CHOOSE(CONTROL!$C$10, $C$13, 100%, $E$13) + CHOOSE(CONTROL!$C$29, 0.0272, 0)</f>
        <v>31.1328</v>
      </c>
      <c r="C334" s="4">
        <f>30.7423 * CHOOSE(CONTROL!$C$10, $C$13, 100%, $E$13) + CHOOSE(CONTROL!$C$29, 0.0272, 0)</f>
        <v>30.769500000000001</v>
      </c>
      <c r="D334" s="4">
        <f>41.0006 * CHOOSE(CONTROL!$C$10, $C$13, 100%, $E$13) + CHOOSE(CONTROL!$C$29, 0.0021, 0)</f>
        <v>41.002699999999997</v>
      </c>
      <c r="E334" s="4">
        <f>198.195965700038 * CHOOSE(CONTROL!$C$10, $C$13, 100%, $E$13) + CHOOSE(CONTROL!$C$29, 0.0021, 0)</f>
        <v>198.198065700038</v>
      </c>
    </row>
    <row r="335" spans="1:5" ht="15">
      <c r="A335" s="13">
        <v>51348</v>
      </c>
      <c r="B335" s="4">
        <f>31.096 * CHOOSE(CONTROL!$C$10, $C$13, 100%, $E$13) + CHOOSE(CONTROL!$C$29, 0.0272, 0)</f>
        <v>31.123200000000001</v>
      </c>
      <c r="C335" s="4">
        <f>30.7327 * CHOOSE(CONTROL!$C$10, $C$13, 100%, $E$13) + CHOOSE(CONTROL!$C$29, 0.0272, 0)</f>
        <v>30.759900000000002</v>
      </c>
      <c r="D335" s="4">
        <f>41.6466 * CHOOSE(CONTROL!$C$10, $C$13, 100%, $E$13) + CHOOSE(CONTROL!$C$29, 0.0021, 0)</f>
        <v>41.648699999999998</v>
      </c>
      <c r="E335" s="4">
        <f>198.132926270744 * CHOOSE(CONTROL!$C$10, $C$13, 100%, $E$13) + CHOOSE(CONTROL!$C$29, 0.0021, 0)</f>
        <v>198.13502627074402</v>
      </c>
    </row>
    <row r="336" spans="1:5" ht="15">
      <c r="A336" s="13">
        <v>51379</v>
      </c>
      <c r="B336" s="4">
        <f>31.8219 * CHOOSE(CONTROL!$C$10, $C$13, 100%, $E$13) + CHOOSE(CONTROL!$C$29, 0.0272, 0)</f>
        <v>31.8491</v>
      </c>
      <c r="C336" s="4">
        <f>31.4587 * CHOOSE(CONTROL!$C$10, $C$13, 100%, $E$13) + CHOOSE(CONTROL!$C$29, 0.0272, 0)</f>
        <v>31.485900000000001</v>
      </c>
      <c r="D336" s="4">
        <f>41.22 * CHOOSE(CONTROL!$C$10, $C$13, 100%, $E$13) + CHOOSE(CONTROL!$C$29, 0.0021, 0)</f>
        <v>41.222099999999998</v>
      </c>
      <c r="E336" s="4">
        <f>202.87664332511 * CHOOSE(CONTROL!$C$10, $C$13, 100%, $E$13) + CHOOSE(CONTROL!$C$29, 0.0021, 0)</f>
        <v>202.87874332511001</v>
      </c>
    </row>
    <row r="337" spans="1:5" ht="15">
      <c r="A337" s="13">
        <v>51409</v>
      </c>
      <c r="B337" s="4">
        <f>30.5846 * CHOOSE(CONTROL!$C$10, $C$13, 100%, $E$13) + CHOOSE(CONTROL!$C$29, 0.0272, 0)</f>
        <v>30.611799999999999</v>
      </c>
      <c r="C337" s="4">
        <f>30.2214 * CHOOSE(CONTROL!$C$10, $C$13, 100%, $E$13) + CHOOSE(CONTROL!$C$29, 0.0272, 0)</f>
        <v>30.2486</v>
      </c>
      <c r="D337" s="4">
        <f>41.0184 * CHOOSE(CONTROL!$C$10, $C$13, 100%, $E$13) + CHOOSE(CONTROL!$C$29, 0.0021, 0)</f>
        <v>41.020499999999998</v>
      </c>
      <c r="E337" s="4">
        <f>194.791836518167 * CHOOSE(CONTROL!$C$10, $C$13, 100%, $E$13) + CHOOSE(CONTROL!$C$29, 0.0021, 0)</f>
        <v>194.79393651816702</v>
      </c>
    </row>
    <row r="338" spans="1:5" ht="15">
      <c r="A338" s="13">
        <v>51440</v>
      </c>
      <c r="B338" s="4">
        <f>29.5941 * CHOOSE(CONTROL!$C$10, $C$13, 100%, $E$13) + CHOOSE(CONTROL!$C$29, 0.0272, 0)</f>
        <v>29.621300000000002</v>
      </c>
      <c r="C338" s="4">
        <f>29.2309 * CHOOSE(CONTROL!$C$10, $C$13, 100%, $E$13) + CHOOSE(CONTROL!$C$29, 0.0272, 0)</f>
        <v>29.258099999999999</v>
      </c>
      <c r="D338" s="4">
        <f>40.4787 * CHOOSE(CONTROL!$C$10, $C$13, 100%, $E$13) + CHOOSE(CONTROL!$C$29, 0.0021, 0)</f>
        <v>40.480800000000002</v>
      </c>
      <c r="E338" s="4">
        <f>188.319788443993 * CHOOSE(CONTROL!$C$10, $C$13, 100%, $E$13) + CHOOSE(CONTROL!$C$29, 0.0021, 0)</f>
        <v>188.321888443993</v>
      </c>
    </row>
    <row r="339" spans="1:5" ht="15">
      <c r="A339" s="13">
        <v>51470</v>
      </c>
      <c r="B339" s="4">
        <f>28.9562 * CHOOSE(CONTROL!$C$10, $C$13, 100%, $E$13) + CHOOSE(CONTROL!$C$29, 0.0272, 0)</f>
        <v>28.9834</v>
      </c>
      <c r="C339" s="4">
        <f>28.5929 * CHOOSE(CONTROL!$C$10, $C$13, 100%, $E$13) + CHOOSE(CONTROL!$C$29, 0.0272, 0)</f>
        <v>28.620100000000001</v>
      </c>
      <c r="D339" s="4">
        <f>40.2932 * CHOOSE(CONTROL!$C$10, $C$13, 100%, $E$13) + CHOOSE(CONTROL!$C$29, 0.0021, 0)</f>
        <v>40.295299999999997</v>
      </c>
      <c r="E339" s="4">
        <f>184.151306181933 * CHOOSE(CONTROL!$C$10, $C$13, 100%, $E$13) + CHOOSE(CONTROL!$C$29, 0.0021, 0)</f>
        <v>184.15340618193301</v>
      </c>
    </row>
    <row r="340" spans="1:5" ht="15">
      <c r="A340" s="13">
        <v>51501</v>
      </c>
      <c r="B340" s="4">
        <f>28.5148 * CHOOSE(CONTROL!$C$10, $C$13, 100%, $E$13) + CHOOSE(CONTROL!$C$29, 0.0272, 0)</f>
        <v>28.542000000000002</v>
      </c>
      <c r="C340" s="4">
        <f>28.1515 * CHOOSE(CONTROL!$C$10, $C$13, 100%, $E$13) + CHOOSE(CONTROL!$C$29, 0.0272, 0)</f>
        <v>28.178699999999999</v>
      </c>
      <c r="D340" s="4">
        <f>38.9272 * CHOOSE(CONTROL!$C$10, $C$13, 100%, $E$13) + CHOOSE(CONTROL!$C$29, 0.0021, 0)</f>
        <v>38.929299999999998</v>
      </c>
      <c r="E340" s="4">
        <f>181.267252291737 * CHOOSE(CONTROL!$C$10, $C$13, 100%, $E$13) + CHOOSE(CONTROL!$C$29, 0.0021, 0)</f>
        <v>181.26935229173702</v>
      </c>
    </row>
    <row r="341" spans="1:5" ht="15">
      <c r="A341" s="13">
        <v>51532</v>
      </c>
      <c r="B341" s="4">
        <f>27.358 * CHOOSE(CONTROL!$C$10, $C$13, 100%, $E$13) + CHOOSE(CONTROL!$C$29, 0.0272, 0)</f>
        <v>27.385200000000001</v>
      </c>
      <c r="C341" s="4">
        <f>26.9947 * CHOOSE(CONTROL!$C$10, $C$13, 100%, $E$13) + CHOOSE(CONTROL!$C$29, 0.0272, 0)</f>
        <v>27.021900000000002</v>
      </c>
      <c r="D341" s="4">
        <f>37.3546 * CHOOSE(CONTROL!$C$10, $C$13, 100%, $E$13) + CHOOSE(CONTROL!$C$29, 0.0021, 0)</f>
        <v>37.356699999999996</v>
      </c>
      <c r="E341" s="4">
        <f>173.716734670599 * CHOOSE(CONTROL!$C$10, $C$13, 100%, $E$13) + CHOOSE(CONTROL!$C$29, 0.0021, 0)</f>
        <v>173.71883467059902</v>
      </c>
    </row>
    <row r="342" spans="1:5" ht="15">
      <c r="A342" s="13">
        <v>51560</v>
      </c>
      <c r="B342" s="4">
        <f>27.9892 * CHOOSE(CONTROL!$C$10, $C$13, 100%, $E$13) + CHOOSE(CONTROL!$C$29, 0.0272, 0)</f>
        <v>28.016400000000001</v>
      </c>
      <c r="C342" s="4">
        <f>27.6259 * CHOOSE(CONTROL!$C$10, $C$13, 100%, $E$13) + CHOOSE(CONTROL!$C$29, 0.0272, 0)</f>
        <v>27.653100000000002</v>
      </c>
      <c r="D342" s="4">
        <f>38.6076 * CHOOSE(CONTROL!$C$10, $C$13, 100%, $E$13) + CHOOSE(CONTROL!$C$29, 0.0021, 0)</f>
        <v>38.609699999999997</v>
      </c>
      <c r="E342" s="4">
        <f>177.841454553599 * CHOOSE(CONTROL!$C$10, $C$13, 100%, $E$13) + CHOOSE(CONTROL!$C$29, 0.0021, 0)</f>
        <v>177.84355455359901</v>
      </c>
    </row>
    <row r="343" spans="1:5" ht="15">
      <c r="A343" s="13">
        <v>51591</v>
      </c>
      <c r="B343" s="4">
        <f>29.6468 * CHOOSE(CONTROL!$C$10, $C$13, 100%, $E$13) + CHOOSE(CONTROL!$C$29, 0.0272, 0)</f>
        <v>29.673999999999999</v>
      </c>
      <c r="C343" s="4">
        <f>29.2835 * CHOOSE(CONTROL!$C$10, $C$13, 100%, $E$13) + CHOOSE(CONTROL!$C$29, 0.0272, 0)</f>
        <v>29.310700000000001</v>
      </c>
      <c r="D343" s="4">
        <f>40.5692 * CHOOSE(CONTROL!$C$10, $C$13, 100%, $E$13) + CHOOSE(CONTROL!$C$29, 0.0021, 0)</f>
        <v>40.571300000000001</v>
      </c>
      <c r="E343" s="4">
        <f>188.673188167283 * CHOOSE(CONTROL!$C$10, $C$13, 100%, $E$13) + CHOOSE(CONTROL!$C$29, 0.0021, 0)</f>
        <v>188.67528816728301</v>
      </c>
    </row>
    <row r="344" spans="1:5" ht="15">
      <c r="A344" s="13">
        <v>51621</v>
      </c>
      <c r="B344" s="4">
        <f>30.8246 * CHOOSE(CONTROL!$C$10, $C$13, 100%, $E$13) + CHOOSE(CONTROL!$C$29, 0.0272, 0)</f>
        <v>30.851800000000001</v>
      </c>
      <c r="C344" s="4">
        <f>30.4613 * CHOOSE(CONTROL!$C$10, $C$13, 100%, $E$13) + CHOOSE(CONTROL!$C$29, 0.0272, 0)</f>
        <v>30.488500000000002</v>
      </c>
      <c r="D344" s="4">
        <f>41.6991 * CHOOSE(CONTROL!$C$10, $C$13, 100%, $E$13) + CHOOSE(CONTROL!$C$29, 0.0021, 0)</f>
        <v>41.7012</v>
      </c>
      <c r="E344" s="4">
        <f>196.369279251635 * CHOOSE(CONTROL!$C$10, $C$13, 100%, $E$13) + CHOOSE(CONTROL!$C$29, 0.0021, 0)</f>
        <v>196.37137925163501</v>
      </c>
    </row>
    <row r="345" spans="1:5" ht="15">
      <c r="A345" s="13">
        <v>51652</v>
      </c>
      <c r="B345" s="4">
        <f>31.5442 * CHOOSE(CONTROL!$C$10, $C$13, 100%, $E$13) + CHOOSE(CONTROL!$C$29, 0.0272, 0)</f>
        <v>31.571400000000001</v>
      </c>
      <c r="C345" s="4">
        <f>31.1809 * CHOOSE(CONTROL!$C$10, $C$13, 100%, $E$13) + CHOOSE(CONTROL!$C$29, 0.0272, 0)</f>
        <v>31.208100000000002</v>
      </c>
      <c r="D345" s="4">
        <f>41.2526 * CHOOSE(CONTROL!$C$10, $C$13, 100%, $E$13) + CHOOSE(CONTROL!$C$29, 0.0021, 0)</f>
        <v>41.2547</v>
      </c>
      <c r="E345" s="4">
        <f>201.071406454614 * CHOOSE(CONTROL!$C$10, $C$13, 100%, $E$13) + CHOOSE(CONTROL!$C$29, 0.0021, 0)</f>
        <v>201.07350645461401</v>
      </c>
    </row>
    <row r="346" spans="1:5" ht="15">
      <c r="A346" s="13">
        <v>51682</v>
      </c>
      <c r="B346" s="4">
        <f>31.6415 * CHOOSE(CONTROL!$C$10, $C$13, 100%, $E$13) + CHOOSE(CONTROL!$C$29, 0.0272, 0)</f>
        <v>31.668700000000001</v>
      </c>
      <c r="C346" s="4">
        <f>31.2782 * CHOOSE(CONTROL!$C$10, $C$13, 100%, $E$13) + CHOOSE(CONTROL!$C$29, 0.0272, 0)</f>
        <v>31.305399999999999</v>
      </c>
      <c r="D346" s="4">
        <f>41.6162 * CHOOSE(CONTROL!$C$10, $C$13, 100%, $E$13) + CHOOSE(CONTROL!$C$29, 0.0021, 0)</f>
        <v>41.618299999999998</v>
      </c>
      <c r="E346" s="4">
        <f>201.707623779406 * CHOOSE(CONTROL!$C$10, $C$13, 100%, $E$13) + CHOOSE(CONTROL!$C$29, 0.0021, 0)</f>
        <v>201.709723779406</v>
      </c>
    </row>
    <row r="347" spans="1:5" ht="15">
      <c r="A347" s="13">
        <v>51713</v>
      </c>
      <c r="B347" s="4">
        <f>31.6317 * CHOOSE(CONTROL!$C$10, $C$13, 100%, $E$13) + CHOOSE(CONTROL!$C$29, 0.0272, 0)</f>
        <v>31.658899999999999</v>
      </c>
      <c r="C347" s="4">
        <f>31.2684 * CHOOSE(CONTROL!$C$10, $C$13, 100%, $E$13) + CHOOSE(CONTROL!$C$29, 0.0272, 0)</f>
        <v>31.2956</v>
      </c>
      <c r="D347" s="4">
        <f>42.2723 * CHOOSE(CONTROL!$C$10, $C$13, 100%, $E$13) + CHOOSE(CONTROL!$C$29, 0.0021, 0)</f>
        <v>42.2744</v>
      </c>
      <c r="E347" s="4">
        <f>201.64346741052 * CHOOSE(CONTROL!$C$10, $C$13, 100%, $E$13) + CHOOSE(CONTROL!$C$29, 0.0021, 0)</f>
        <v>201.64556741052002</v>
      </c>
    </row>
    <row r="348" spans="1:5" ht="15">
      <c r="A348" s="13">
        <v>51744</v>
      </c>
      <c r="B348" s="4">
        <f>32.3705 * CHOOSE(CONTROL!$C$10, $C$13, 100%, $E$13) + CHOOSE(CONTROL!$C$29, 0.0272, 0)</f>
        <v>32.3977</v>
      </c>
      <c r="C348" s="4">
        <f>32.0072 * CHOOSE(CONTROL!$C$10, $C$13, 100%, $E$13) + CHOOSE(CONTROL!$C$29, 0.0272, 0)</f>
        <v>32.034399999999998</v>
      </c>
      <c r="D348" s="4">
        <f>41.839 * CHOOSE(CONTROL!$C$10, $C$13, 100%, $E$13) + CHOOSE(CONTROL!$C$29, 0.0021, 0)</f>
        <v>41.841099999999997</v>
      </c>
      <c r="E348" s="4">
        <f>206.471234169235 * CHOOSE(CONTROL!$C$10, $C$13, 100%, $E$13) + CHOOSE(CONTROL!$C$29, 0.0021, 0)</f>
        <v>206.47333416923502</v>
      </c>
    </row>
    <row r="349" spans="1:5" ht="15">
      <c r="A349" s="13">
        <v>51774</v>
      </c>
      <c r="B349" s="4">
        <f>31.1113 * CHOOSE(CONTROL!$C$10, $C$13, 100%, $E$13) + CHOOSE(CONTROL!$C$29, 0.0272, 0)</f>
        <v>31.138500000000001</v>
      </c>
      <c r="C349" s="4">
        <f>30.7481 * CHOOSE(CONTROL!$C$10, $C$13, 100%, $E$13) + CHOOSE(CONTROL!$C$29, 0.0272, 0)</f>
        <v>30.775300000000001</v>
      </c>
      <c r="D349" s="4">
        <f>41.6343 * CHOOSE(CONTROL!$C$10, $C$13, 100%, $E$13) + CHOOSE(CONTROL!$C$29, 0.0021, 0)</f>
        <v>41.636400000000002</v>
      </c>
      <c r="E349" s="4">
        <f>198.243179859531 * CHOOSE(CONTROL!$C$10, $C$13, 100%, $E$13) + CHOOSE(CONTROL!$C$29, 0.0021, 0)</f>
        <v>198.24527985953102</v>
      </c>
    </row>
    <row r="350" spans="1:5" ht="15">
      <c r="A350" s="13">
        <v>51805</v>
      </c>
      <c r="B350" s="4">
        <f>30.1034 * CHOOSE(CONTROL!$C$10, $C$13, 100%, $E$13) + CHOOSE(CONTROL!$C$29, 0.0272, 0)</f>
        <v>30.130600000000001</v>
      </c>
      <c r="C350" s="4">
        <f>29.7401 * CHOOSE(CONTROL!$C$10, $C$13, 100%, $E$13) + CHOOSE(CONTROL!$C$29, 0.0272, 0)</f>
        <v>29.767300000000002</v>
      </c>
      <c r="D350" s="4">
        <f>41.0861 * CHOOSE(CONTROL!$C$10, $C$13, 100%, $E$13) + CHOOSE(CONTROL!$C$29, 0.0021, 0)</f>
        <v>41.088200000000001</v>
      </c>
      <c r="E350" s="4">
        <f>191.656459320509 * CHOOSE(CONTROL!$C$10, $C$13, 100%, $E$13) + CHOOSE(CONTROL!$C$29, 0.0021, 0)</f>
        <v>191.658559320509</v>
      </c>
    </row>
    <row r="351" spans="1:5" ht="15">
      <c r="A351" s="13">
        <v>51835</v>
      </c>
      <c r="B351" s="4">
        <f>29.4541 * CHOOSE(CONTROL!$C$10, $C$13, 100%, $E$13) + CHOOSE(CONTROL!$C$29, 0.0272, 0)</f>
        <v>29.481300000000001</v>
      </c>
      <c r="C351" s="4">
        <f>29.0909 * CHOOSE(CONTROL!$C$10, $C$13, 100%, $E$13) + CHOOSE(CONTROL!$C$29, 0.0272, 0)</f>
        <v>29.118100000000002</v>
      </c>
      <c r="D351" s="4">
        <f>40.8977 * CHOOSE(CONTROL!$C$10, $C$13, 100%, $E$13) + CHOOSE(CONTROL!$C$29, 0.0021, 0)</f>
        <v>40.899799999999999</v>
      </c>
      <c r="E351" s="4">
        <f>187.414119427884 * CHOOSE(CONTROL!$C$10, $C$13, 100%, $E$13) + CHOOSE(CONTROL!$C$29, 0.0021, 0)</f>
        <v>187.41621942788402</v>
      </c>
    </row>
    <row r="352" spans="1:5" ht="15">
      <c r="A352" s="13">
        <v>51866</v>
      </c>
      <c r="B352" s="4">
        <f>29.005 * CHOOSE(CONTROL!$C$10, $C$13, 100%, $E$13) + CHOOSE(CONTROL!$C$29, 0.0272, 0)</f>
        <v>29.0322</v>
      </c>
      <c r="C352" s="4">
        <f>28.6417 * CHOOSE(CONTROL!$C$10, $C$13, 100%, $E$13) + CHOOSE(CONTROL!$C$29, 0.0272, 0)</f>
        <v>28.668900000000001</v>
      </c>
      <c r="D352" s="4">
        <f>39.5103 * CHOOSE(CONTROL!$C$10, $C$13, 100%, $E$13) + CHOOSE(CONTROL!$C$29, 0.0021, 0)</f>
        <v>39.5124</v>
      </c>
      <c r="E352" s="4">
        <f>184.478965551323 * CHOOSE(CONTROL!$C$10, $C$13, 100%, $E$13) + CHOOSE(CONTROL!$C$29, 0.0021, 0)</f>
        <v>184.48106555132301</v>
      </c>
    </row>
    <row r="353" spans="1:5" ht="15">
      <c r="A353" s="13">
        <v>51897</v>
      </c>
      <c r="B353" s="4">
        <f>27.8277 * CHOOSE(CONTROL!$C$10, $C$13, 100%, $E$13) + CHOOSE(CONTROL!$C$29, 0.0272, 0)</f>
        <v>27.854900000000001</v>
      </c>
      <c r="C353" s="4">
        <f>27.4644 * CHOOSE(CONTROL!$C$10, $C$13, 100%, $E$13) + CHOOSE(CONTROL!$C$29, 0.0272, 0)</f>
        <v>27.491600000000002</v>
      </c>
      <c r="D353" s="4">
        <f>37.9129 * CHOOSE(CONTROL!$C$10, $C$13, 100%, $E$13) + CHOOSE(CONTROL!$C$29, 0.0021, 0)</f>
        <v>37.914999999999999</v>
      </c>
      <c r="E353" s="4">
        <f>176.794667022414 * CHOOSE(CONTROL!$C$10, $C$13, 100%, $E$13) + CHOOSE(CONTROL!$C$29, 0.0021, 0)</f>
        <v>176.796767022414</v>
      </c>
    </row>
    <row r="354" spans="1:5" ht="15">
      <c r="A354" s="13">
        <v>51925</v>
      </c>
      <c r="B354" s="4">
        <f>28.4701 * CHOOSE(CONTROL!$C$10, $C$13, 100%, $E$13) + CHOOSE(CONTROL!$C$29, 0.0272, 0)</f>
        <v>28.497299999999999</v>
      </c>
      <c r="C354" s="4">
        <f>28.1068 * CHOOSE(CONTROL!$C$10, $C$13, 100%, $E$13) + CHOOSE(CONTROL!$C$29, 0.0272, 0)</f>
        <v>28.134</v>
      </c>
      <c r="D354" s="4">
        <f>39.1856 * CHOOSE(CONTROL!$C$10, $C$13, 100%, $E$13) + CHOOSE(CONTROL!$C$29, 0.0021, 0)</f>
        <v>39.1877</v>
      </c>
      <c r="E354" s="4">
        <f>180.992469149299 * CHOOSE(CONTROL!$C$10, $C$13, 100%, $E$13) + CHOOSE(CONTROL!$C$29, 0.0021, 0)</f>
        <v>180.99456914929902</v>
      </c>
    </row>
    <row r="355" spans="1:5" ht="15">
      <c r="A355" s="13">
        <v>51956</v>
      </c>
      <c r="B355" s="4">
        <f>30.157 * CHOOSE(CONTROL!$C$10, $C$13, 100%, $E$13) + CHOOSE(CONTROL!$C$29, 0.0272, 0)</f>
        <v>30.184200000000001</v>
      </c>
      <c r="C355" s="4">
        <f>29.7937 * CHOOSE(CONTROL!$C$10, $C$13, 100%, $E$13) + CHOOSE(CONTROL!$C$29, 0.0272, 0)</f>
        <v>29.820900000000002</v>
      </c>
      <c r="D355" s="4">
        <f>41.178 * CHOOSE(CONTROL!$C$10, $C$13, 100%, $E$13) + CHOOSE(CONTROL!$C$29, 0.0021, 0)</f>
        <v>41.180099999999996</v>
      </c>
      <c r="E355" s="4">
        <f>192.016120619251 * CHOOSE(CONTROL!$C$10, $C$13, 100%, $E$13) + CHOOSE(CONTROL!$C$29, 0.0021, 0)</f>
        <v>192.01822061925103</v>
      </c>
    </row>
    <row r="356" spans="1:5" ht="15">
      <c r="A356" s="13">
        <v>51986</v>
      </c>
      <c r="B356" s="4">
        <f>31.3555 * CHOOSE(CONTROL!$C$10, $C$13, 100%, $E$13) + CHOOSE(CONTROL!$C$29, 0.0272, 0)</f>
        <v>31.3827</v>
      </c>
      <c r="C356" s="4">
        <f>30.9922 * CHOOSE(CONTROL!$C$10, $C$13, 100%, $E$13) + CHOOSE(CONTROL!$C$29, 0.0272, 0)</f>
        <v>31.019400000000001</v>
      </c>
      <c r="D356" s="4">
        <f>42.3257 * CHOOSE(CONTROL!$C$10, $C$13, 100%, $E$13) + CHOOSE(CONTROL!$C$29, 0.0021, 0)</f>
        <v>42.327799999999996</v>
      </c>
      <c r="E356" s="4">
        <f>199.848571898123 * CHOOSE(CONTROL!$C$10, $C$13, 100%, $E$13) + CHOOSE(CONTROL!$C$29, 0.0021, 0)</f>
        <v>199.85067189812301</v>
      </c>
    </row>
    <row r="357" spans="1:5" ht="15">
      <c r="A357" s="13">
        <v>52017</v>
      </c>
      <c r="B357" s="4">
        <f>32.0878 * CHOOSE(CONTROL!$C$10, $C$13, 100%, $E$13) + CHOOSE(CONTROL!$C$29, 0.0272, 0)</f>
        <v>32.115000000000002</v>
      </c>
      <c r="C357" s="4">
        <f>31.7245 * CHOOSE(CONTROL!$C$10, $C$13, 100%, $E$13) + CHOOSE(CONTROL!$C$29, 0.0272, 0)</f>
        <v>31.7517</v>
      </c>
      <c r="D357" s="4">
        <f>41.8722 * CHOOSE(CONTROL!$C$10, $C$13, 100%, $E$13) + CHOOSE(CONTROL!$C$29, 0.0021, 0)</f>
        <v>41.874299999999998</v>
      </c>
      <c r="E357" s="4">
        <f>204.634011911856 * CHOOSE(CONTROL!$C$10, $C$13, 100%, $E$13) + CHOOSE(CONTROL!$C$29, 0.0021, 0)</f>
        <v>204.63611191185601</v>
      </c>
    </row>
    <row r="358" spans="1:5" ht="15">
      <c r="A358" s="13">
        <v>52047</v>
      </c>
      <c r="B358" s="4">
        <f>32.1869 * CHOOSE(CONTROL!$C$10, $C$13, 100%, $E$13) + CHOOSE(CONTROL!$C$29, 0.0272, 0)</f>
        <v>32.214100000000002</v>
      </c>
      <c r="C358" s="4">
        <f>31.8236 * CHOOSE(CONTROL!$C$10, $C$13, 100%, $E$13) + CHOOSE(CONTROL!$C$29, 0.0272, 0)</f>
        <v>31.8508</v>
      </c>
      <c r="D358" s="4">
        <f>42.2415 * CHOOSE(CONTROL!$C$10, $C$13, 100%, $E$13) + CHOOSE(CONTROL!$C$29, 0.0021, 0)</f>
        <v>42.243600000000001</v>
      </c>
      <c r="E358" s="4">
        <f>205.281501805698 * CHOOSE(CONTROL!$C$10, $C$13, 100%, $E$13) + CHOOSE(CONTROL!$C$29, 0.0021, 0)</f>
        <v>205.28360180569803</v>
      </c>
    </row>
    <row r="359" spans="1:5" ht="15">
      <c r="A359" s="13">
        <v>52078</v>
      </c>
      <c r="B359" s="4">
        <f>32.1769 * CHOOSE(CONTROL!$C$10, $C$13, 100%, $E$13) + CHOOSE(CONTROL!$C$29, 0.0272, 0)</f>
        <v>32.204100000000004</v>
      </c>
      <c r="C359" s="4">
        <f>31.8136 * CHOOSE(CONTROL!$C$10, $C$13, 100%, $E$13) + CHOOSE(CONTROL!$C$29, 0.0272, 0)</f>
        <v>31.840800000000002</v>
      </c>
      <c r="D359" s="4">
        <f>42.9079 * CHOOSE(CONTROL!$C$10, $C$13, 100%, $E$13) + CHOOSE(CONTROL!$C$29, 0.0021, 0)</f>
        <v>42.91</v>
      </c>
      <c r="E359" s="4">
        <f>205.216208707159 * CHOOSE(CONTROL!$C$10, $C$13, 100%, $E$13) + CHOOSE(CONTROL!$C$29, 0.0021, 0)</f>
        <v>205.21830870715903</v>
      </c>
    </row>
    <row r="360" spans="1:5" ht="15">
      <c r="A360" s="13">
        <v>52109</v>
      </c>
      <c r="B360" s="4">
        <f>32.9288 * CHOOSE(CONTROL!$C$10, $C$13, 100%, $E$13) + CHOOSE(CONTROL!$C$29, 0.0272, 0)</f>
        <v>32.956000000000003</v>
      </c>
      <c r="C360" s="4">
        <f>32.5655 * CHOOSE(CONTROL!$C$10, $C$13, 100%, $E$13) + CHOOSE(CONTROL!$C$29, 0.0272, 0)</f>
        <v>32.592700000000001</v>
      </c>
      <c r="D360" s="4">
        <f>42.4678 * CHOOSE(CONTROL!$C$10, $C$13, 100%, $E$13) + CHOOSE(CONTROL!$C$29, 0.0021, 0)</f>
        <v>42.469899999999996</v>
      </c>
      <c r="E360" s="4">
        <f>210.129514372197 * CHOOSE(CONTROL!$C$10, $C$13, 100%, $E$13) + CHOOSE(CONTROL!$C$29, 0.0021, 0)</f>
        <v>210.13161437219702</v>
      </c>
    </row>
    <row r="361" spans="1:5" ht="15">
      <c r="A361" s="13">
        <v>52139</v>
      </c>
      <c r="B361" s="4">
        <f>31.6474 * CHOOSE(CONTROL!$C$10, $C$13, 100%, $E$13) + CHOOSE(CONTROL!$C$29, 0.0272, 0)</f>
        <v>31.674600000000002</v>
      </c>
      <c r="C361" s="4">
        <f>31.2841 * CHOOSE(CONTROL!$C$10, $C$13, 100%, $E$13) + CHOOSE(CONTROL!$C$29, 0.0272, 0)</f>
        <v>31.311299999999999</v>
      </c>
      <c r="D361" s="4">
        <f>42.2599 * CHOOSE(CONTROL!$C$10, $C$13, 100%, $E$13) + CHOOSE(CONTROL!$C$29, 0.0021, 0)</f>
        <v>42.262</v>
      </c>
      <c r="E361" s="4">
        <f>201.755674484608 * CHOOSE(CONTROL!$C$10, $C$13, 100%, $E$13) + CHOOSE(CONTROL!$C$29, 0.0021, 0)</f>
        <v>201.75777448460801</v>
      </c>
    </row>
    <row r="362" spans="1:5" ht="15">
      <c r="A362" s="13">
        <v>52170</v>
      </c>
      <c r="B362" s="4">
        <f>30.6216 * CHOOSE(CONTROL!$C$10, $C$13, 100%, $E$13) + CHOOSE(CONTROL!$C$29, 0.0272, 0)</f>
        <v>30.648800000000001</v>
      </c>
      <c r="C362" s="4">
        <f>30.2583 * CHOOSE(CONTROL!$C$10, $C$13, 100%, $E$13) + CHOOSE(CONTROL!$C$29, 0.0272, 0)</f>
        <v>30.285499999999999</v>
      </c>
      <c r="D362" s="4">
        <f>41.7031 * CHOOSE(CONTROL!$C$10, $C$13, 100%, $E$13) + CHOOSE(CONTROL!$C$29, 0.0021, 0)</f>
        <v>41.705199999999998</v>
      </c>
      <c r="E362" s="4">
        <f>195.052249701301 * CHOOSE(CONTROL!$C$10, $C$13, 100%, $E$13) + CHOOSE(CONTROL!$C$29, 0.0021, 0)</f>
        <v>195.05434970130102</v>
      </c>
    </row>
    <row r="363" spans="1:5" ht="15">
      <c r="A363" s="13">
        <v>52200</v>
      </c>
      <c r="B363" s="4">
        <f>29.9609 * CHOOSE(CONTROL!$C$10, $C$13, 100%, $E$13) + CHOOSE(CONTROL!$C$29, 0.0272, 0)</f>
        <v>29.988099999999999</v>
      </c>
      <c r="C363" s="4">
        <f>29.5976 * CHOOSE(CONTROL!$C$10, $C$13, 100%, $E$13) + CHOOSE(CONTROL!$C$29, 0.0272, 0)</f>
        <v>29.6248</v>
      </c>
      <c r="D363" s="4">
        <f>41.5117 * CHOOSE(CONTROL!$C$10, $C$13, 100%, $E$13) + CHOOSE(CONTROL!$C$29, 0.0021, 0)</f>
        <v>41.513799999999996</v>
      </c>
      <c r="E363" s="4">
        <f>190.734743560429 * CHOOSE(CONTROL!$C$10, $C$13, 100%, $E$13) + CHOOSE(CONTROL!$C$29, 0.0021, 0)</f>
        <v>190.73684356042901</v>
      </c>
    </row>
    <row r="364" spans="1:5" ht="15">
      <c r="A364" s="13">
        <v>52231</v>
      </c>
      <c r="B364" s="4">
        <f>29.5038 * CHOOSE(CONTROL!$C$10, $C$13, 100%, $E$13) + CHOOSE(CONTROL!$C$29, 0.0272, 0)</f>
        <v>29.530999999999999</v>
      </c>
      <c r="C364" s="4">
        <f>29.1405 * CHOOSE(CONTROL!$C$10, $C$13, 100%, $E$13) + CHOOSE(CONTROL!$C$29, 0.0272, 0)</f>
        <v>29.1677</v>
      </c>
      <c r="D364" s="4">
        <f>40.1024 * CHOOSE(CONTROL!$C$10, $C$13, 100%, $E$13) + CHOOSE(CONTROL!$C$29, 0.0021, 0)</f>
        <v>40.104500000000002</v>
      </c>
      <c r="E364" s="4">
        <f>187.747584302283 * CHOOSE(CONTROL!$C$10, $C$13, 100%, $E$13) + CHOOSE(CONTROL!$C$29, 0.0021, 0)</f>
        <v>187.74968430228301</v>
      </c>
    </row>
    <row r="365" spans="1:5" ht="15">
      <c r="A365" s="13">
        <v>52262</v>
      </c>
      <c r="B365" s="4">
        <f>28.3057 * CHOOSE(CONTROL!$C$10, $C$13, 100%, $E$13) + CHOOSE(CONTROL!$C$29, 0.0272, 0)</f>
        <v>28.332900000000002</v>
      </c>
      <c r="C365" s="4">
        <f>27.9424 * CHOOSE(CONTROL!$C$10, $C$13, 100%, $E$13) + CHOOSE(CONTROL!$C$29, 0.0272, 0)</f>
        <v>27.9696</v>
      </c>
      <c r="D365" s="4">
        <f>38.4799 * CHOOSE(CONTROL!$C$10, $C$13, 100%, $E$13) + CHOOSE(CONTROL!$C$29, 0.0021, 0)</f>
        <v>38.481999999999999</v>
      </c>
      <c r="E365" s="4">
        <f>179.927134520658 * CHOOSE(CONTROL!$C$10, $C$13, 100%, $E$13) + CHOOSE(CONTROL!$C$29, 0.0021, 0)</f>
        <v>179.92923452065801</v>
      </c>
    </row>
    <row r="366" spans="1:5" ht="15">
      <c r="A366" s="13">
        <v>52290</v>
      </c>
      <c r="B366" s="4">
        <f>28.9594 * CHOOSE(CONTROL!$C$10, $C$13, 100%, $E$13) + CHOOSE(CONTROL!$C$29, 0.0272, 0)</f>
        <v>28.986599999999999</v>
      </c>
      <c r="C366" s="4">
        <f>28.5961 * CHOOSE(CONTROL!$C$10, $C$13, 100%, $E$13) + CHOOSE(CONTROL!$C$29, 0.0272, 0)</f>
        <v>28.6233</v>
      </c>
      <c r="D366" s="4">
        <f>39.7727 * CHOOSE(CONTROL!$C$10, $C$13, 100%, $E$13) + CHOOSE(CONTROL!$C$29, 0.0021, 0)</f>
        <v>39.774799999999999</v>
      </c>
      <c r="E366" s="4">
        <f>184.199313770722 * CHOOSE(CONTROL!$C$10, $C$13, 100%, $E$13) + CHOOSE(CONTROL!$C$29, 0.0021, 0)</f>
        <v>184.20141377072201</v>
      </c>
    </row>
    <row r="367" spans="1:5" ht="15">
      <c r="A367" s="13">
        <v>52321</v>
      </c>
      <c r="B367" s="4">
        <f>30.6761 * CHOOSE(CONTROL!$C$10, $C$13, 100%, $E$13) + CHOOSE(CONTROL!$C$29, 0.0272, 0)</f>
        <v>30.703300000000002</v>
      </c>
      <c r="C367" s="4">
        <f>30.3128 * CHOOSE(CONTROL!$C$10, $C$13, 100%, $E$13) + CHOOSE(CONTROL!$C$29, 0.0272, 0)</f>
        <v>30.34</v>
      </c>
      <c r="D367" s="4">
        <f>41.7964 * CHOOSE(CONTROL!$C$10, $C$13, 100%, $E$13) + CHOOSE(CONTROL!$C$29, 0.0021, 0)</f>
        <v>41.798499999999997</v>
      </c>
      <c r="E367" s="4">
        <f>195.418283518782 * CHOOSE(CONTROL!$C$10, $C$13, 100%, $E$13) + CHOOSE(CONTROL!$C$29, 0.0021, 0)</f>
        <v>195.42038351878202</v>
      </c>
    </row>
    <row r="368" spans="1:5" ht="15">
      <c r="A368" s="13">
        <v>52351</v>
      </c>
      <c r="B368" s="4">
        <f>31.8959 * CHOOSE(CONTROL!$C$10, $C$13, 100%, $E$13) + CHOOSE(CONTROL!$C$29, 0.0272, 0)</f>
        <v>31.923100000000002</v>
      </c>
      <c r="C368" s="4">
        <f>31.5326 * CHOOSE(CONTROL!$C$10, $C$13, 100%, $E$13) + CHOOSE(CONTROL!$C$29, 0.0272, 0)</f>
        <v>31.559799999999999</v>
      </c>
      <c r="D368" s="4">
        <f>42.9621 * CHOOSE(CONTROL!$C$10, $C$13, 100%, $E$13) + CHOOSE(CONTROL!$C$29, 0.0021, 0)</f>
        <v>42.964199999999998</v>
      </c>
      <c r="E368" s="4">
        <f>203.389511037209 * CHOOSE(CONTROL!$C$10, $C$13, 100%, $E$13) + CHOOSE(CONTROL!$C$29, 0.0021, 0)</f>
        <v>203.391611037209</v>
      </c>
    </row>
    <row r="369" spans="1:5" ht="15">
      <c r="A369" s="13">
        <v>52382</v>
      </c>
      <c r="B369" s="4">
        <f>32.6411 * CHOOSE(CONTROL!$C$10, $C$13, 100%, $E$13) + CHOOSE(CONTROL!$C$29, 0.0272, 0)</f>
        <v>32.668300000000002</v>
      </c>
      <c r="C369" s="4">
        <f>32.2778 * CHOOSE(CONTROL!$C$10, $C$13, 100%, $E$13) + CHOOSE(CONTROL!$C$29, 0.0272, 0)</f>
        <v>32.305</v>
      </c>
      <c r="D369" s="4">
        <f>42.5015 * CHOOSE(CONTROL!$C$10, $C$13, 100%, $E$13) + CHOOSE(CONTROL!$C$29, 0.0021, 0)</f>
        <v>42.503599999999999</v>
      </c>
      <c r="E369" s="4">
        <f>208.259740007308 * CHOOSE(CONTROL!$C$10, $C$13, 100%, $E$13) + CHOOSE(CONTROL!$C$29, 0.0021, 0)</f>
        <v>208.26184000730802</v>
      </c>
    </row>
    <row r="370" spans="1:5" ht="15">
      <c r="A370" s="13">
        <v>52412</v>
      </c>
      <c r="B370" s="4">
        <f>32.7419 * CHOOSE(CONTROL!$C$10, $C$13, 100%, $E$13) + CHOOSE(CONTROL!$C$29, 0.0272, 0)</f>
        <v>32.769100000000002</v>
      </c>
      <c r="C370" s="4">
        <f>32.3787 * CHOOSE(CONTROL!$C$10, $C$13, 100%, $E$13) + CHOOSE(CONTROL!$C$29, 0.0272, 0)</f>
        <v>32.405900000000003</v>
      </c>
      <c r="D370" s="4">
        <f>42.8766 * CHOOSE(CONTROL!$C$10, $C$13, 100%, $E$13) + CHOOSE(CONTROL!$C$29, 0.0021, 0)</f>
        <v>42.878700000000002</v>
      </c>
      <c r="E370" s="4">
        <f>208.918702198827 * CHOOSE(CONTROL!$C$10, $C$13, 100%, $E$13) + CHOOSE(CONTROL!$C$29, 0.0021, 0)</f>
        <v>208.920802198827</v>
      </c>
    </row>
    <row r="371" spans="1:5" ht="15">
      <c r="A371" s="13">
        <v>52443</v>
      </c>
      <c r="B371" s="4">
        <f>32.7318 * CHOOSE(CONTROL!$C$10, $C$13, 100%, $E$13) + CHOOSE(CONTROL!$C$29, 0.0272, 0)</f>
        <v>32.759</v>
      </c>
      <c r="C371" s="4">
        <f>32.3685 * CHOOSE(CONTROL!$C$10, $C$13, 100%, $E$13) + CHOOSE(CONTROL!$C$29, 0.0272, 0)</f>
        <v>32.395699999999998</v>
      </c>
      <c r="D371" s="4">
        <f>43.5535 * CHOOSE(CONTROL!$C$10, $C$13, 100%, $E$13) + CHOOSE(CONTROL!$C$29, 0.0021, 0)</f>
        <v>43.555599999999998</v>
      </c>
      <c r="E371" s="4">
        <f>208.852252229935 * CHOOSE(CONTROL!$C$10, $C$13, 100%, $E$13) + CHOOSE(CONTROL!$C$29, 0.0021, 0)</f>
        <v>208.85435222993502</v>
      </c>
    </row>
    <row r="372" spans="1:5" ht="15">
      <c r="A372" s="13">
        <v>52474</v>
      </c>
      <c r="B372" s="4">
        <f>33.4969 * CHOOSE(CONTROL!$C$10, $C$13, 100%, $E$13) + CHOOSE(CONTROL!$C$29, 0.0272, 0)</f>
        <v>33.524099999999997</v>
      </c>
      <c r="C372" s="4">
        <f>33.1336 * CHOOSE(CONTROL!$C$10, $C$13, 100%, $E$13) + CHOOSE(CONTROL!$C$29, 0.0272, 0)</f>
        <v>33.160800000000002</v>
      </c>
      <c r="D372" s="4">
        <f>43.1065 * CHOOSE(CONTROL!$C$10, $C$13, 100%, $E$13) + CHOOSE(CONTROL!$C$29, 0.0021, 0)</f>
        <v>43.108599999999996</v>
      </c>
      <c r="E372" s="4">
        <f>213.852612389115 * CHOOSE(CONTROL!$C$10, $C$13, 100%, $E$13) + CHOOSE(CONTROL!$C$29, 0.0021, 0)</f>
        <v>213.85471238911501</v>
      </c>
    </row>
    <row r="373" spans="1:5" ht="15">
      <c r="A373" s="13">
        <v>52504</v>
      </c>
      <c r="B373" s="4">
        <f>32.1929 * CHOOSE(CONTROL!$C$10, $C$13, 100%, $E$13) + CHOOSE(CONTROL!$C$29, 0.0272, 0)</f>
        <v>32.220100000000002</v>
      </c>
      <c r="C373" s="4">
        <f>31.8296 * CHOOSE(CONTROL!$C$10, $C$13, 100%, $E$13) + CHOOSE(CONTROL!$C$29, 0.0272, 0)</f>
        <v>31.8568</v>
      </c>
      <c r="D373" s="4">
        <f>42.8953 * CHOOSE(CONTROL!$C$10, $C$13, 100%, $E$13) + CHOOSE(CONTROL!$C$29, 0.0021, 0)</f>
        <v>42.897399999999998</v>
      </c>
      <c r="E373" s="4">
        <f>205.330403878619 * CHOOSE(CONTROL!$C$10, $C$13, 100%, $E$13) + CHOOSE(CONTROL!$C$29, 0.0021, 0)</f>
        <v>205.33250387861901</v>
      </c>
    </row>
    <row r="374" spans="1:5" ht="15">
      <c r="A374" s="13">
        <v>52535</v>
      </c>
      <c r="B374" s="4">
        <f>31.1489 * CHOOSE(CONTROL!$C$10, $C$13, 100%, $E$13) + CHOOSE(CONTROL!$C$29, 0.0272, 0)</f>
        <v>31.176100000000002</v>
      </c>
      <c r="C374" s="4">
        <f>30.7857 * CHOOSE(CONTROL!$C$10, $C$13, 100%, $E$13) + CHOOSE(CONTROL!$C$29, 0.0272, 0)</f>
        <v>30.812899999999999</v>
      </c>
      <c r="D374" s="4">
        <f>42.3298 * CHOOSE(CONTROL!$C$10, $C$13, 100%, $E$13) + CHOOSE(CONTROL!$C$29, 0.0021, 0)</f>
        <v>42.331899999999997</v>
      </c>
      <c r="E374" s="4">
        <f>198.508207072296 * CHOOSE(CONTROL!$C$10, $C$13, 100%, $E$13) + CHOOSE(CONTROL!$C$29, 0.0021, 0)</f>
        <v>198.510307072296</v>
      </c>
    </row>
    <row r="375" spans="1:5" ht="15">
      <c r="A375" s="13">
        <v>52565</v>
      </c>
      <c r="B375" s="4">
        <f>30.4766 * CHOOSE(CONTROL!$C$10, $C$13, 100%, $E$13) + CHOOSE(CONTROL!$C$29, 0.0272, 0)</f>
        <v>30.503800000000002</v>
      </c>
      <c r="C375" s="4">
        <f>30.1133 * CHOOSE(CONTROL!$C$10, $C$13, 100%, $E$13) + CHOOSE(CONTROL!$C$29, 0.0272, 0)</f>
        <v>30.140499999999999</v>
      </c>
      <c r="D375" s="4">
        <f>42.1353 * CHOOSE(CONTROL!$C$10, $C$13, 100%, $E$13) + CHOOSE(CONTROL!$C$29, 0.0021, 0)</f>
        <v>42.1374</v>
      </c>
      <c r="E375" s="4">
        <f>194.114202879262 * CHOOSE(CONTROL!$C$10, $C$13, 100%, $E$13) + CHOOSE(CONTROL!$C$29, 0.0021, 0)</f>
        <v>194.11630287926201</v>
      </c>
    </row>
    <row r="376" spans="1:5" ht="15">
      <c r="A376" s="13">
        <v>52596</v>
      </c>
      <c r="B376" s="4">
        <f>30.0114 * CHOOSE(CONTROL!$C$10, $C$13, 100%, $E$13) + CHOOSE(CONTROL!$C$29, 0.0272, 0)</f>
        <v>30.038599999999999</v>
      </c>
      <c r="C376" s="4">
        <f>29.6481 * CHOOSE(CONTROL!$C$10, $C$13, 100%, $E$13) + CHOOSE(CONTROL!$C$29, 0.0272, 0)</f>
        <v>29.6753</v>
      </c>
      <c r="D376" s="4">
        <f>40.7039 * CHOOSE(CONTROL!$C$10, $C$13, 100%, $E$13) + CHOOSE(CONTROL!$C$29, 0.0021, 0)</f>
        <v>40.705999999999996</v>
      </c>
      <c r="E376" s="4">
        <f>191.074116802418 * CHOOSE(CONTROL!$C$10, $C$13, 100%, $E$13) + CHOOSE(CONTROL!$C$29, 0.0021, 0)</f>
        <v>191.076216802418</v>
      </c>
    </row>
    <row r="377" spans="1:5" ht="15">
      <c r="A377" s="13">
        <v>52627</v>
      </c>
      <c r="B377" s="4">
        <f>28.7921 * CHOOSE(CONTROL!$C$10, $C$13, 100%, $E$13) + CHOOSE(CONTROL!$C$29, 0.0272, 0)</f>
        <v>28.819300000000002</v>
      </c>
      <c r="C377" s="4">
        <f>28.4288 * CHOOSE(CONTROL!$C$10, $C$13, 100%, $E$13) + CHOOSE(CONTROL!$C$29, 0.0272, 0)</f>
        <v>28.456</v>
      </c>
      <c r="D377" s="4">
        <f>39.0559 * CHOOSE(CONTROL!$C$10, $C$13, 100%, $E$13) + CHOOSE(CONTROL!$C$29, 0.0021, 0)</f>
        <v>39.058</v>
      </c>
      <c r="E377" s="4">
        <f>183.115103425098 * CHOOSE(CONTROL!$C$10, $C$13, 100%, $E$13) + CHOOSE(CONTROL!$C$29, 0.0021, 0)</f>
        <v>183.11720342509801</v>
      </c>
    </row>
    <row r="378" spans="1:5" ht="15">
      <c r="A378" s="13">
        <v>52655</v>
      </c>
      <c r="B378" s="4">
        <f>29.4574 * CHOOSE(CONTROL!$C$10, $C$13, 100%, $E$13) + CHOOSE(CONTROL!$C$29, 0.0272, 0)</f>
        <v>29.4846</v>
      </c>
      <c r="C378" s="4">
        <f>29.0941 * CHOOSE(CONTROL!$C$10, $C$13, 100%, $E$13) + CHOOSE(CONTROL!$C$29, 0.0272, 0)</f>
        <v>29.121300000000002</v>
      </c>
      <c r="D378" s="4">
        <f>40.369 * CHOOSE(CONTROL!$C$10, $C$13, 100%, $E$13) + CHOOSE(CONTROL!$C$29, 0.0021, 0)</f>
        <v>40.371099999999998</v>
      </c>
      <c r="E378" s="4">
        <f>187.462977620449 * CHOOSE(CONTROL!$C$10, $C$13, 100%, $E$13) + CHOOSE(CONTROL!$C$29, 0.0021, 0)</f>
        <v>187.46507762044902</v>
      </c>
    </row>
    <row r="379" spans="1:5" ht="15">
      <c r="A379" s="13">
        <v>52687</v>
      </c>
      <c r="B379" s="4">
        <f>31.2044 * CHOOSE(CONTROL!$C$10, $C$13, 100%, $E$13) + CHOOSE(CONTROL!$C$29, 0.0272, 0)</f>
        <v>31.2316</v>
      </c>
      <c r="C379" s="4">
        <f>30.8412 * CHOOSE(CONTROL!$C$10, $C$13, 100%, $E$13) + CHOOSE(CONTROL!$C$29, 0.0272, 0)</f>
        <v>30.868400000000001</v>
      </c>
      <c r="D379" s="4">
        <f>42.4245 * CHOOSE(CONTROL!$C$10, $C$13, 100%, $E$13) + CHOOSE(CONTROL!$C$29, 0.0021, 0)</f>
        <v>42.426600000000001</v>
      </c>
      <c r="E379" s="4">
        <f>198.88072631751 * CHOOSE(CONTROL!$C$10, $C$13, 100%, $E$13) + CHOOSE(CONTROL!$C$29, 0.0021, 0)</f>
        <v>198.88282631751002</v>
      </c>
    </row>
    <row r="380" spans="1:5" ht="15">
      <c r="A380" s="13">
        <v>52717</v>
      </c>
      <c r="B380" s="4">
        <f>32.4457 * CHOOSE(CONTROL!$C$10, $C$13, 100%, $E$13) + CHOOSE(CONTROL!$C$29, 0.0272, 0)</f>
        <v>32.472900000000003</v>
      </c>
      <c r="C380" s="4">
        <f>32.0825 * CHOOSE(CONTROL!$C$10, $C$13, 100%, $E$13) + CHOOSE(CONTROL!$C$29, 0.0272, 0)</f>
        <v>32.109700000000004</v>
      </c>
      <c r="D380" s="4">
        <f>43.6086 * CHOOSE(CONTROL!$C$10, $C$13, 100%, $E$13) + CHOOSE(CONTROL!$C$29, 0.0021, 0)</f>
        <v>43.610700000000001</v>
      </c>
      <c r="E380" s="4">
        <f>206.99318892828 * CHOOSE(CONTROL!$C$10, $C$13, 100%, $E$13) + CHOOSE(CONTROL!$C$29, 0.0021, 0)</f>
        <v>206.99528892828002</v>
      </c>
    </row>
    <row r="381" spans="1:5" ht="15">
      <c r="A381" s="13">
        <v>52748</v>
      </c>
      <c r="B381" s="4">
        <f>33.2041 * CHOOSE(CONTROL!$C$10, $C$13, 100%, $E$13) + CHOOSE(CONTROL!$C$29, 0.0272, 0)</f>
        <v>33.231299999999997</v>
      </c>
      <c r="C381" s="4">
        <f>32.8409 * CHOOSE(CONTROL!$C$10, $C$13, 100%, $E$13) + CHOOSE(CONTROL!$C$29, 0.0272, 0)</f>
        <v>32.868099999999998</v>
      </c>
      <c r="D381" s="4">
        <f>43.1407 * CHOOSE(CONTROL!$C$10, $C$13, 100%, $E$13) + CHOOSE(CONTROL!$C$29, 0.0021, 0)</f>
        <v>43.142800000000001</v>
      </c>
      <c r="E381" s="4">
        <f>211.949709154866 * CHOOSE(CONTROL!$C$10, $C$13, 100%, $E$13) + CHOOSE(CONTROL!$C$29, 0.0021, 0)</f>
        <v>211.95180915486603</v>
      </c>
    </row>
    <row r="382" spans="1:5" ht="15">
      <c r="A382" s="13">
        <v>52778</v>
      </c>
      <c r="B382" s="4">
        <f>33.3068 * CHOOSE(CONTROL!$C$10, $C$13, 100%, $E$13) + CHOOSE(CONTROL!$C$29, 0.0272, 0)</f>
        <v>33.334000000000003</v>
      </c>
      <c r="C382" s="4">
        <f>32.9435 * CHOOSE(CONTROL!$C$10, $C$13, 100%, $E$13) + CHOOSE(CONTROL!$C$29, 0.0272, 0)</f>
        <v>32.970700000000001</v>
      </c>
      <c r="D382" s="4">
        <f>43.5217 * CHOOSE(CONTROL!$C$10, $C$13, 100%, $E$13) + CHOOSE(CONTROL!$C$29, 0.0021, 0)</f>
        <v>43.523800000000001</v>
      </c>
      <c r="E382" s="4">
        <f>212.620346911505 * CHOOSE(CONTROL!$C$10, $C$13, 100%, $E$13) + CHOOSE(CONTROL!$C$29, 0.0021, 0)</f>
        <v>212.62244691150502</v>
      </c>
    </row>
    <row r="383" spans="1:5" ht="15">
      <c r="A383" s="13">
        <v>52809</v>
      </c>
      <c r="B383" s="4">
        <f>33.2964 * CHOOSE(CONTROL!$C$10, $C$13, 100%, $E$13) + CHOOSE(CONTROL!$C$29, 0.0272, 0)</f>
        <v>33.323599999999999</v>
      </c>
      <c r="C383" s="4">
        <f>32.9331 * CHOOSE(CONTROL!$C$10, $C$13, 100%, $E$13) + CHOOSE(CONTROL!$C$29, 0.0272, 0)</f>
        <v>32.960300000000004</v>
      </c>
      <c r="D383" s="4">
        <f>44.2093 * CHOOSE(CONTROL!$C$10, $C$13, 100%, $E$13) + CHOOSE(CONTROL!$C$29, 0.0021, 0)</f>
        <v>44.211399999999998</v>
      </c>
      <c r="E383" s="4">
        <f>212.552719574701 * CHOOSE(CONTROL!$C$10, $C$13, 100%, $E$13) + CHOOSE(CONTROL!$C$29, 0.0021, 0)</f>
        <v>212.55481957470101</v>
      </c>
    </row>
    <row r="384" spans="1:5" ht="15">
      <c r="A384" s="13">
        <v>52840</v>
      </c>
      <c r="B384" s="4">
        <f>34.0751 * CHOOSE(CONTROL!$C$10, $C$13, 100%, $E$13) + CHOOSE(CONTROL!$C$29, 0.0272, 0)</f>
        <v>34.1023</v>
      </c>
      <c r="C384" s="4">
        <f>33.7118 * CHOOSE(CONTROL!$C$10, $C$13, 100%, $E$13) + CHOOSE(CONTROL!$C$29, 0.0272, 0)</f>
        <v>33.738999999999997</v>
      </c>
      <c r="D384" s="4">
        <f>43.7552 * CHOOSE(CONTROL!$C$10, $C$13, 100%, $E$13) + CHOOSE(CONTROL!$C$29, 0.0021, 0)</f>
        <v>43.757300000000001</v>
      </c>
      <c r="E384" s="4">
        <f>217.641676669196 * CHOOSE(CONTROL!$C$10, $C$13, 100%, $E$13) + CHOOSE(CONTROL!$C$29, 0.0021, 0)</f>
        <v>217.643776669196</v>
      </c>
    </row>
    <row r="385" spans="1:5" ht="15">
      <c r="A385" s="13">
        <v>52870</v>
      </c>
      <c r="B385" s="4">
        <f>32.748 * CHOOSE(CONTROL!$C$10, $C$13, 100%, $E$13) + CHOOSE(CONTROL!$C$29, 0.0272, 0)</f>
        <v>32.775199999999998</v>
      </c>
      <c r="C385" s="4">
        <f>32.3847 * CHOOSE(CONTROL!$C$10, $C$13, 100%, $E$13) + CHOOSE(CONTROL!$C$29, 0.0272, 0)</f>
        <v>32.411900000000003</v>
      </c>
      <c r="D385" s="4">
        <f>43.5407 * CHOOSE(CONTROL!$C$10, $C$13, 100%, $E$13) + CHOOSE(CONTROL!$C$29, 0.0021, 0)</f>
        <v>43.5428</v>
      </c>
      <c r="E385" s="4">
        <f>208.968470724094 * CHOOSE(CONTROL!$C$10, $C$13, 100%, $E$13) + CHOOSE(CONTROL!$C$29, 0.0021, 0)</f>
        <v>208.97057072409402</v>
      </c>
    </row>
    <row r="386" spans="1:5" ht="15">
      <c r="A386" s="13">
        <v>52901</v>
      </c>
      <c r="B386" s="4">
        <f>31.6856 * CHOOSE(CONTROL!$C$10, $C$13, 100%, $E$13) + CHOOSE(CONTROL!$C$29, 0.0272, 0)</f>
        <v>31.712800000000001</v>
      </c>
      <c r="C386" s="4">
        <f>31.3223 * CHOOSE(CONTROL!$C$10, $C$13, 100%, $E$13) + CHOOSE(CONTROL!$C$29, 0.0272, 0)</f>
        <v>31.349499999999999</v>
      </c>
      <c r="D386" s="4">
        <f>42.9663 * CHOOSE(CONTROL!$C$10, $C$13, 100%, $E$13) + CHOOSE(CONTROL!$C$29, 0.0021, 0)</f>
        <v>42.968399999999995</v>
      </c>
      <c r="E386" s="4">
        <f>202.025397478892 * CHOOSE(CONTROL!$C$10, $C$13, 100%, $E$13) + CHOOSE(CONTROL!$C$29, 0.0021, 0)</f>
        <v>202.027497478892</v>
      </c>
    </row>
    <row r="387" spans="1:5" ht="15">
      <c r="A387" s="13">
        <v>52931</v>
      </c>
      <c r="B387" s="4">
        <f>31.0014 * CHOOSE(CONTROL!$C$10, $C$13, 100%, $E$13) + CHOOSE(CONTROL!$C$29, 0.0272, 0)</f>
        <v>31.028600000000001</v>
      </c>
      <c r="C387" s="4">
        <f>30.6381 * CHOOSE(CONTROL!$C$10, $C$13, 100%, $E$13) + CHOOSE(CONTROL!$C$29, 0.0272, 0)</f>
        <v>30.665300000000002</v>
      </c>
      <c r="D387" s="4">
        <f>42.7688 * CHOOSE(CONTROL!$C$10, $C$13, 100%, $E$13) + CHOOSE(CONTROL!$C$29, 0.0021, 0)</f>
        <v>42.770899999999997</v>
      </c>
      <c r="E387" s="4">
        <f>197.553539832733 * CHOOSE(CONTROL!$C$10, $C$13, 100%, $E$13) + CHOOSE(CONTROL!$C$29, 0.0021, 0)</f>
        <v>197.55563983273302</v>
      </c>
    </row>
    <row r="388" spans="1:5" ht="15">
      <c r="A388" s="13">
        <v>52962</v>
      </c>
      <c r="B388" s="4">
        <f>30.528 * CHOOSE(CONTROL!$C$10, $C$13, 100%, $E$13) + CHOOSE(CONTROL!$C$29, 0.0272, 0)</f>
        <v>30.555199999999999</v>
      </c>
      <c r="C388" s="4">
        <f>30.1647 * CHOOSE(CONTROL!$C$10, $C$13, 100%, $E$13) + CHOOSE(CONTROL!$C$29, 0.0272, 0)</f>
        <v>30.1919</v>
      </c>
      <c r="D388" s="4">
        <f>41.3149 * CHOOSE(CONTROL!$C$10, $C$13, 100%, $E$13) + CHOOSE(CONTROL!$C$29, 0.0021, 0)</f>
        <v>41.317</v>
      </c>
      <c r="E388" s="4">
        <f>194.459589173954 * CHOOSE(CONTROL!$C$10, $C$13, 100%, $E$13) + CHOOSE(CONTROL!$C$29, 0.0021, 0)</f>
        <v>194.461689173954</v>
      </c>
    </row>
    <row r="389" spans="1:5" ht="15">
      <c r="A389" s="13">
        <v>52993</v>
      </c>
      <c r="B389" s="4">
        <f>29.2872 * CHOOSE(CONTROL!$C$10, $C$13, 100%, $E$13) + CHOOSE(CONTROL!$C$29, 0.0272, 0)</f>
        <v>29.314399999999999</v>
      </c>
      <c r="C389" s="4">
        <f>28.9239 * CHOOSE(CONTROL!$C$10, $C$13, 100%, $E$13) + CHOOSE(CONTROL!$C$29, 0.0272, 0)</f>
        <v>28.9511</v>
      </c>
      <c r="D389" s="4">
        <f>39.641 * CHOOSE(CONTROL!$C$10, $C$13, 100%, $E$13) + CHOOSE(CONTROL!$C$29, 0.0021, 0)</f>
        <v>39.643099999999997</v>
      </c>
      <c r="E389" s="4">
        <f>186.359557115796 * CHOOSE(CONTROL!$C$10, $C$13, 100%, $E$13) + CHOOSE(CONTROL!$C$29, 0.0021, 0)</f>
        <v>186.36165711579602</v>
      </c>
    </row>
    <row r="390" spans="1:5" ht="15">
      <c r="A390" s="13">
        <v>53021</v>
      </c>
      <c r="B390" s="4">
        <f>29.9642 * CHOOSE(CONTROL!$C$10, $C$13, 100%, $E$13) + CHOOSE(CONTROL!$C$29, 0.0272, 0)</f>
        <v>29.991400000000002</v>
      </c>
      <c r="C390" s="4">
        <f>29.6009 * CHOOSE(CONTROL!$C$10, $C$13, 100%, $E$13) + CHOOSE(CONTROL!$C$29, 0.0272, 0)</f>
        <v>29.6281</v>
      </c>
      <c r="D390" s="4">
        <f>40.9747 * CHOOSE(CONTROL!$C$10, $C$13, 100%, $E$13) + CHOOSE(CONTROL!$C$29, 0.0021, 0)</f>
        <v>40.976799999999997</v>
      </c>
      <c r="E390" s="4">
        <f>190.784467427863 * CHOOSE(CONTROL!$C$10, $C$13, 100%, $E$13) + CHOOSE(CONTROL!$C$29, 0.0021, 0)</f>
        <v>190.78656742786302</v>
      </c>
    </row>
    <row r="391" spans="1:5" ht="15">
      <c r="A391" s="13">
        <v>53052</v>
      </c>
      <c r="B391" s="4">
        <f>31.7421 * CHOOSE(CONTROL!$C$10, $C$13, 100%, $E$13) + CHOOSE(CONTROL!$C$29, 0.0272, 0)</f>
        <v>31.769300000000001</v>
      </c>
      <c r="C391" s="4">
        <f>31.3788 * CHOOSE(CONTROL!$C$10, $C$13, 100%, $E$13) + CHOOSE(CONTROL!$C$29, 0.0272, 0)</f>
        <v>31.405999999999999</v>
      </c>
      <c r="D391" s="4">
        <f>43.0625 * CHOOSE(CONTROL!$C$10, $C$13, 100%, $E$13) + CHOOSE(CONTROL!$C$29, 0.0021, 0)</f>
        <v>43.064599999999999</v>
      </c>
      <c r="E391" s="4">
        <f>202.404517061367 * CHOOSE(CONTROL!$C$10, $C$13, 100%, $E$13) + CHOOSE(CONTROL!$C$29, 0.0021, 0)</f>
        <v>202.406617061367</v>
      </c>
    </row>
    <row r="392" spans="1:5" ht="15">
      <c r="A392" s="13">
        <v>53082</v>
      </c>
      <c r="B392" s="4">
        <f>33.0053 * CHOOSE(CONTROL!$C$10, $C$13, 100%, $E$13) + CHOOSE(CONTROL!$C$29, 0.0272, 0)</f>
        <v>33.032499999999999</v>
      </c>
      <c r="C392" s="4">
        <f>32.6421 * CHOOSE(CONTROL!$C$10, $C$13, 100%, $E$13) + CHOOSE(CONTROL!$C$29, 0.0272, 0)</f>
        <v>32.6693</v>
      </c>
      <c r="D392" s="4">
        <f>44.2652 * CHOOSE(CONTROL!$C$10, $C$13, 100%, $E$13) + CHOOSE(CONTROL!$C$29, 0.0021, 0)</f>
        <v>44.267299999999999</v>
      </c>
      <c r="E392" s="4">
        <f>210.660717183493 * CHOOSE(CONTROL!$C$10, $C$13, 100%, $E$13) + CHOOSE(CONTROL!$C$29, 0.0021, 0)</f>
        <v>210.66281718349302</v>
      </c>
    </row>
    <row r="393" spans="1:5" ht="15">
      <c r="A393" s="13">
        <v>53113</v>
      </c>
      <c r="B393" s="4">
        <f>33.7771 * CHOOSE(CONTROL!$C$10, $C$13, 100%, $E$13) + CHOOSE(CONTROL!$C$29, 0.0272, 0)</f>
        <v>33.804299999999998</v>
      </c>
      <c r="C393" s="4">
        <f>33.4139 * CHOOSE(CONTROL!$C$10, $C$13, 100%, $E$13) + CHOOSE(CONTROL!$C$29, 0.0272, 0)</f>
        <v>33.441099999999999</v>
      </c>
      <c r="D393" s="4">
        <f>43.79 * CHOOSE(CONTROL!$C$10, $C$13, 100%, $E$13) + CHOOSE(CONTROL!$C$29, 0.0021, 0)</f>
        <v>43.792099999999998</v>
      </c>
      <c r="E393" s="4">
        <f>215.705057584611 * CHOOSE(CONTROL!$C$10, $C$13, 100%, $E$13) + CHOOSE(CONTROL!$C$29, 0.0021, 0)</f>
        <v>215.70715758461102</v>
      </c>
    </row>
    <row r="394" spans="1:5" ht="15">
      <c r="A394" s="13">
        <v>53143</v>
      </c>
      <c r="B394" s="4">
        <f>33.8816 * CHOOSE(CONTROL!$C$10, $C$13, 100%, $E$13) + CHOOSE(CONTROL!$C$29, 0.0272, 0)</f>
        <v>33.908799999999999</v>
      </c>
      <c r="C394" s="4">
        <f>33.5183 * CHOOSE(CONTROL!$C$10, $C$13, 100%, $E$13) + CHOOSE(CONTROL!$C$29, 0.0272, 0)</f>
        <v>33.545500000000004</v>
      </c>
      <c r="D394" s="4">
        <f>44.177 * CHOOSE(CONTROL!$C$10, $C$13, 100%, $E$13) + CHOOSE(CONTROL!$C$29, 0.0021, 0)</f>
        <v>44.179099999999998</v>
      </c>
      <c r="E394" s="4">
        <f>216.387577775325 * CHOOSE(CONTROL!$C$10, $C$13, 100%, $E$13) + CHOOSE(CONTROL!$C$29, 0.0021, 0)</f>
        <v>216.38967777532503</v>
      </c>
    </row>
    <row r="395" spans="1:5" ht="15">
      <c r="A395" s="13">
        <v>53174</v>
      </c>
      <c r="B395" s="4">
        <f>33.871 * CHOOSE(CONTROL!$C$10, $C$13, 100%, $E$13) + CHOOSE(CONTROL!$C$29, 0.0272, 0)</f>
        <v>33.898200000000003</v>
      </c>
      <c r="C395" s="4">
        <f>33.5078 * CHOOSE(CONTROL!$C$10, $C$13, 100%, $E$13) + CHOOSE(CONTROL!$C$29, 0.0272, 0)</f>
        <v>33.535000000000004</v>
      </c>
      <c r="D395" s="4">
        <f>44.8754 * CHOOSE(CONTROL!$C$10, $C$13, 100%, $E$13) + CHOOSE(CONTROL!$C$29, 0.0021, 0)</f>
        <v>44.877499999999998</v>
      </c>
      <c r="E395" s="4">
        <f>216.318752209875 * CHOOSE(CONTROL!$C$10, $C$13, 100%, $E$13) + CHOOSE(CONTROL!$C$29, 0.0021, 0)</f>
        <v>216.320852209875</v>
      </c>
    </row>
    <row r="396" spans="1:5" ht="15">
      <c r="A396" s="13">
        <v>53205</v>
      </c>
      <c r="B396" s="4">
        <f>34.6635 * CHOOSE(CONTROL!$C$10, $C$13, 100%, $E$13) + CHOOSE(CONTROL!$C$29, 0.0272, 0)</f>
        <v>34.6907</v>
      </c>
      <c r="C396" s="4">
        <f>34.3002 * CHOOSE(CONTROL!$C$10, $C$13, 100%, $E$13) + CHOOSE(CONTROL!$C$29, 0.0272, 0)</f>
        <v>34.327399999999997</v>
      </c>
      <c r="D396" s="4">
        <f>44.4142 * CHOOSE(CONTROL!$C$10, $C$13, 100%, $E$13) + CHOOSE(CONTROL!$C$29, 0.0021, 0)</f>
        <v>44.4163</v>
      </c>
      <c r="E396" s="4">
        <f>221.49787601 * CHOOSE(CONTROL!$C$10, $C$13, 100%, $E$13) + CHOOSE(CONTROL!$C$29, 0.0021, 0)</f>
        <v>221.49997601000001</v>
      </c>
    </row>
    <row r="397" spans="1:5" ht="15">
      <c r="A397" s="13">
        <v>53235</v>
      </c>
      <c r="B397" s="4">
        <f>33.3129 * CHOOSE(CONTROL!$C$10, $C$13, 100%, $E$13) + CHOOSE(CONTROL!$C$29, 0.0272, 0)</f>
        <v>33.3401</v>
      </c>
      <c r="C397" s="4">
        <f>32.9496 * CHOOSE(CONTROL!$C$10, $C$13, 100%, $E$13) + CHOOSE(CONTROL!$C$29, 0.0272, 0)</f>
        <v>32.976799999999997</v>
      </c>
      <c r="D397" s="4">
        <f>44.1963 * CHOOSE(CONTROL!$C$10, $C$13, 100%, $E$13) + CHOOSE(CONTROL!$C$29, 0.0021, 0)</f>
        <v>44.198399999999999</v>
      </c>
      <c r="E397" s="4">
        <f>212.670997241016 * CHOOSE(CONTROL!$C$10, $C$13, 100%, $E$13) + CHOOSE(CONTROL!$C$29, 0.0021, 0)</f>
        <v>212.67309724101602</v>
      </c>
    </row>
    <row r="398" spans="1:5" ht="15">
      <c r="A398" s="13">
        <v>53266</v>
      </c>
      <c r="B398" s="4">
        <f>32.2318 * CHOOSE(CONTROL!$C$10, $C$13, 100%, $E$13) + CHOOSE(CONTROL!$C$29, 0.0272, 0)</f>
        <v>32.259</v>
      </c>
      <c r="C398" s="4">
        <f>31.8685 * CHOOSE(CONTROL!$C$10, $C$13, 100%, $E$13) + CHOOSE(CONTROL!$C$29, 0.0272, 0)</f>
        <v>31.895700000000001</v>
      </c>
      <c r="D398" s="4">
        <f>43.6128 * CHOOSE(CONTROL!$C$10, $C$13, 100%, $E$13) + CHOOSE(CONTROL!$C$29, 0.0021, 0)</f>
        <v>43.614899999999999</v>
      </c>
      <c r="E398" s="4">
        <f>205.604905854799 * CHOOSE(CONTROL!$C$10, $C$13, 100%, $E$13) + CHOOSE(CONTROL!$C$29, 0.0021, 0)</f>
        <v>205.60700585479901</v>
      </c>
    </row>
    <row r="399" spans="1:5" ht="15">
      <c r="A399" s="13">
        <v>53296</v>
      </c>
      <c r="B399" s="4">
        <f>31.5354 * CHOOSE(CONTROL!$C$10, $C$13, 100%, $E$13) + CHOOSE(CONTROL!$C$29, 0.0272, 0)</f>
        <v>31.5626</v>
      </c>
      <c r="C399" s="4">
        <f>31.1722 * CHOOSE(CONTROL!$C$10, $C$13, 100%, $E$13) + CHOOSE(CONTROL!$C$29, 0.0272, 0)</f>
        <v>31.199400000000001</v>
      </c>
      <c r="D399" s="4">
        <f>43.4122 * CHOOSE(CONTROL!$C$10, $C$13, 100%, $E$13) + CHOOSE(CONTROL!$C$29, 0.0021, 0)</f>
        <v>43.414299999999997</v>
      </c>
      <c r="E399" s="4">
        <f>201.053815339407 * CHOOSE(CONTROL!$C$10, $C$13, 100%, $E$13) + CHOOSE(CONTROL!$C$29, 0.0021, 0)</f>
        <v>201.05591533940702</v>
      </c>
    </row>
    <row r="400" spans="1:5" ht="15">
      <c r="A400" s="13">
        <v>53327</v>
      </c>
      <c r="B400" s="4">
        <f>31.0537 * CHOOSE(CONTROL!$C$10, $C$13, 100%, $E$13) + CHOOSE(CONTROL!$C$29, 0.0272, 0)</f>
        <v>31.0809</v>
      </c>
      <c r="C400" s="4">
        <f>30.6904 * CHOOSE(CONTROL!$C$10, $C$13, 100%, $E$13) + CHOOSE(CONTROL!$C$29, 0.0272, 0)</f>
        <v>30.717600000000001</v>
      </c>
      <c r="D400" s="4">
        <f>41.9354 * CHOOSE(CONTROL!$C$10, $C$13, 100%, $E$13) + CHOOSE(CONTROL!$C$29, 0.0021, 0)</f>
        <v>41.9375</v>
      </c>
      <c r="E400" s="4">
        <f>197.905045720062 * CHOOSE(CONTROL!$C$10, $C$13, 100%, $E$13) + CHOOSE(CONTROL!$C$29, 0.0021, 0)</f>
        <v>197.907145720062</v>
      </c>
    </row>
    <row r="401" spans="1:5" ht="15">
      <c r="A401" s="13">
        <v>53358</v>
      </c>
      <c r="B401" s="4">
        <f>29.791 * CHOOSE(CONTROL!$C$10, $C$13, 100%, $E$13) + CHOOSE(CONTROL!$C$29, 0.0272, 0)</f>
        <v>29.818200000000001</v>
      </c>
      <c r="C401" s="4">
        <f>29.4277 * CHOOSE(CONTROL!$C$10, $C$13, 100%, $E$13) + CHOOSE(CONTROL!$C$29, 0.0272, 0)</f>
        <v>29.454900000000002</v>
      </c>
      <c r="D401" s="4">
        <f>40.2352 * CHOOSE(CONTROL!$C$10, $C$13, 100%, $E$13) + CHOOSE(CONTROL!$C$29, 0.0021, 0)</f>
        <v>40.237299999999998</v>
      </c>
      <c r="E401" s="4">
        <f>189.661496396456 * CHOOSE(CONTROL!$C$10, $C$13, 100%, $E$13) + CHOOSE(CONTROL!$C$29, 0.0021, 0)</f>
        <v>189.663596396456</v>
      </c>
    </row>
    <row r="402" spans="1:5" ht="15">
      <c r="A402" s="13">
        <v>53386</v>
      </c>
      <c r="B402" s="4">
        <f>30.4799 * CHOOSE(CONTROL!$C$10, $C$13, 100%, $E$13) + CHOOSE(CONTROL!$C$29, 0.0272, 0)</f>
        <v>30.507100000000001</v>
      </c>
      <c r="C402" s="4">
        <f>30.1167 * CHOOSE(CONTROL!$C$10, $C$13, 100%, $E$13) + CHOOSE(CONTROL!$C$29, 0.0272, 0)</f>
        <v>30.143900000000002</v>
      </c>
      <c r="D402" s="4">
        <f>41.5899 * CHOOSE(CONTROL!$C$10, $C$13, 100%, $E$13) + CHOOSE(CONTROL!$C$29, 0.0021, 0)</f>
        <v>41.591999999999999</v>
      </c>
      <c r="E402" s="4">
        <f>194.164807759689 * CHOOSE(CONTROL!$C$10, $C$13, 100%, $E$13) + CHOOSE(CONTROL!$C$29, 0.0021, 0)</f>
        <v>194.16690775968902</v>
      </c>
    </row>
    <row r="403" spans="1:5" ht="15">
      <c r="A403" s="13">
        <v>53417</v>
      </c>
      <c r="B403" s="4">
        <f>32.2893 * CHOOSE(CONTROL!$C$10, $C$13, 100%, $E$13) + CHOOSE(CONTROL!$C$29, 0.0272, 0)</f>
        <v>32.316499999999998</v>
      </c>
      <c r="C403" s="4">
        <f>31.926 * CHOOSE(CONTROL!$C$10, $C$13, 100%, $E$13) + CHOOSE(CONTROL!$C$29, 0.0272, 0)</f>
        <v>31.953199999999999</v>
      </c>
      <c r="D403" s="4">
        <f>43.7106 * CHOOSE(CONTROL!$C$10, $C$13, 100%, $E$13) + CHOOSE(CONTROL!$C$29, 0.0021, 0)</f>
        <v>43.712699999999998</v>
      </c>
      <c r="E403" s="4">
        <f>205.990742720041 * CHOOSE(CONTROL!$C$10, $C$13, 100%, $E$13) + CHOOSE(CONTROL!$C$29, 0.0021, 0)</f>
        <v>205.99284272004101</v>
      </c>
    </row>
    <row r="404" spans="1:5" ht="15">
      <c r="A404" s="13">
        <v>53447</v>
      </c>
      <c r="B404" s="4">
        <f>33.5748 * CHOOSE(CONTROL!$C$10, $C$13, 100%, $E$13) + CHOOSE(CONTROL!$C$29, 0.0272, 0)</f>
        <v>33.602000000000004</v>
      </c>
      <c r="C404" s="4">
        <f>33.2115 * CHOOSE(CONTROL!$C$10, $C$13, 100%, $E$13) + CHOOSE(CONTROL!$C$29, 0.0272, 0)</f>
        <v>33.238700000000001</v>
      </c>
      <c r="D404" s="4">
        <f>44.9321 * CHOOSE(CONTROL!$C$10, $C$13, 100%, $E$13) + CHOOSE(CONTROL!$C$29, 0.0021, 0)</f>
        <v>44.934199999999997</v>
      </c>
      <c r="E404" s="4">
        <f>214.393227110675 * CHOOSE(CONTROL!$C$10, $C$13, 100%, $E$13) + CHOOSE(CONTROL!$C$29, 0.0021, 0)</f>
        <v>214.39532711067503</v>
      </c>
    </row>
    <row r="405" spans="1:5" ht="15">
      <c r="A405" s="13">
        <v>53478</v>
      </c>
      <c r="B405" s="4">
        <f>34.3603 * CHOOSE(CONTROL!$C$10, $C$13, 100%, $E$13) + CHOOSE(CONTROL!$C$29, 0.0272, 0)</f>
        <v>34.387500000000003</v>
      </c>
      <c r="C405" s="4">
        <f>33.997 * CHOOSE(CONTROL!$C$10, $C$13, 100%, $E$13) + CHOOSE(CONTROL!$C$29, 0.0272, 0)</f>
        <v>34.0242</v>
      </c>
      <c r="D405" s="4">
        <f>44.4494 * CHOOSE(CONTROL!$C$10, $C$13, 100%, $E$13) + CHOOSE(CONTROL!$C$29, 0.0021, 0)</f>
        <v>44.451499999999996</v>
      </c>
      <c r="E405" s="4">
        <f>219.526943693908 * CHOOSE(CONTROL!$C$10, $C$13, 100%, $E$13) + CHOOSE(CONTROL!$C$29, 0.0021, 0)</f>
        <v>219.52904369390802</v>
      </c>
    </row>
    <row r="406" spans="1:5" ht="15">
      <c r="A406" s="13">
        <v>53508</v>
      </c>
      <c r="B406" s="4">
        <f>34.4665 * CHOOSE(CONTROL!$C$10, $C$13, 100%, $E$13) + CHOOSE(CONTROL!$C$29, 0.0272, 0)</f>
        <v>34.493700000000004</v>
      </c>
      <c r="C406" s="4">
        <f>34.1033 * CHOOSE(CONTROL!$C$10, $C$13, 100%, $E$13) + CHOOSE(CONTROL!$C$29, 0.0272, 0)</f>
        <v>34.130499999999998</v>
      </c>
      <c r="D406" s="4">
        <f>44.8426 * CHOOSE(CONTROL!$C$10, $C$13, 100%, $E$13) + CHOOSE(CONTROL!$C$29, 0.0021, 0)</f>
        <v>44.844699999999996</v>
      </c>
      <c r="E406" s="4">
        <f>220.221556852981 * CHOOSE(CONTROL!$C$10, $C$13, 100%, $E$13) + CHOOSE(CONTROL!$C$29, 0.0021, 0)</f>
        <v>220.22365685298101</v>
      </c>
    </row>
    <row r="407" spans="1:5" ht="15">
      <c r="A407" s="13">
        <v>53539</v>
      </c>
      <c r="B407" s="4">
        <f>34.4558 * CHOOSE(CONTROL!$C$10, $C$13, 100%, $E$13) + CHOOSE(CONTROL!$C$29, 0.0272, 0)</f>
        <v>34.483000000000004</v>
      </c>
      <c r="C407" s="4">
        <f>34.0925 * CHOOSE(CONTROL!$C$10, $C$13, 100%, $E$13) + CHOOSE(CONTROL!$C$29, 0.0272, 0)</f>
        <v>34.119700000000002</v>
      </c>
      <c r="D407" s="4">
        <f>45.5519 * CHOOSE(CONTROL!$C$10, $C$13, 100%, $E$13) + CHOOSE(CONTROL!$C$29, 0.0021, 0)</f>
        <v>45.554000000000002</v>
      </c>
      <c r="E407" s="4">
        <f>220.151511828536 * CHOOSE(CONTROL!$C$10, $C$13, 100%, $E$13) + CHOOSE(CONTROL!$C$29, 0.0021, 0)</f>
        <v>220.15361182853601</v>
      </c>
    </row>
    <row r="408" spans="1:5" ht="15">
      <c r="A408" s="13">
        <v>53570</v>
      </c>
      <c r="B408" s="4">
        <f>35.2622 * CHOOSE(CONTROL!$C$10, $C$13, 100%, $E$13) + CHOOSE(CONTROL!$C$29, 0.0272, 0)</f>
        <v>35.289400000000001</v>
      </c>
      <c r="C408" s="4">
        <f>34.899 * CHOOSE(CONTROL!$C$10, $C$13, 100%, $E$13) + CHOOSE(CONTROL!$C$29, 0.0272, 0)</f>
        <v>34.926200000000001</v>
      </c>
      <c r="D408" s="4">
        <f>45.0835 * CHOOSE(CONTROL!$C$10, $C$13, 100%, $E$13) + CHOOSE(CONTROL!$C$29, 0.0021, 0)</f>
        <v>45.085599999999999</v>
      </c>
      <c r="E408" s="4">
        <f>225.422399917972 * CHOOSE(CONTROL!$C$10, $C$13, 100%, $E$13) + CHOOSE(CONTROL!$C$29, 0.0021, 0)</f>
        <v>225.42449991797201</v>
      </c>
    </row>
    <row r="409" spans="1:5" ht="15">
      <c r="A409" s="13">
        <v>53600</v>
      </c>
      <c r="B409" s="4">
        <f>33.8878 * CHOOSE(CONTROL!$C$10, $C$13, 100%, $E$13) + CHOOSE(CONTROL!$C$29, 0.0272, 0)</f>
        <v>33.914999999999999</v>
      </c>
      <c r="C409" s="4">
        <f>33.5246 * CHOOSE(CONTROL!$C$10, $C$13, 100%, $E$13) + CHOOSE(CONTROL!$C$29, 0.0272, 0)</f>
        <v>33.5518</v>
      </c>
      <c r="D409" s="4">
        <f>44.8621 * CHOOSE(CONTROL!$C$10, $C$13, 100%, $E$13) + CHOOSE(CONTROL!$C$29, 0.0021, 0)</f>
        <v>44.864199999999997</v>
      </c>
      <c r="E409" s="4">
        <f>216.439125532987 * CHOOSE(CONTROL!$C$10, $C$13, 100%, $E$13) + CHOOSE(CONTROL!$C$29, 0.0021, 0)</f>
        <v>216.441225532987</v>
      </c>
    </row>
    <row r="410" spans="1:5" ht="15">
      <c r="A410" s="13">
        <v>53631</v>
      </c>
      <c r="B410" s="4">
        <f>32.7876 * CHOOSE(CONTROL!$C$10, $C$13, 100%, $E$13) + CHOOSE(CONTROL!$C$29, 0.0272, 0)</f>
        <v>32.814799999999998</v>
      </c>
      <c r="C410" s="4">
        <f>32.4243 * CHOOSE(CONTROL!$C$10, $C$13, 100%, $E$13) + CHOOSE(CONTROL!$C$29, 0.0272, 0)</f>
        <v>32.451500000000003</v>
      </c>
      <c r="D410" s="4">
        <f>44.2695 * CHOOSE(CONTROL!$C$10, $C$13, 100%, $E$13) + CHOOSE(CONTROL!$C$29, 0.0021, 0)</f>
        <v>44.271599999999999</v>
      </c>
      <c r="E410" s="4">
        <f>209.247836356702 * CHOOSE(CONTROL!$C$10, $C$13, 100%, $E$13) + CHOOSE(CONTROL!$C$29, 0.0021, 0)</f>
        <v>209.24993635670202</v>
      </c>
    </row>
    <row r="411" spans="1:5" ht="15">
      <c r="A411" s="13">
        <v>53661</v>
      </c>
      <c r="B411" s="4">
        <f>32.079 * CHOOSE(CONTROL!$C$10, $C$13, 100%, $E$13) + CHOOSE(CONTROL!$C$29, 0.0272, 0)</f>
        <v>32.106200000000001</v>
      </c>
      <c r="C411" s="4">
        <f>31.7157 * CHOOSE(CONTROL!$C$10, $C$13, 100%, $E$13) + CHOOSE(CONTROL!$C$29, 0.0272, 0)</f>
        <v>31.742899999999999</v>
      </c>
      <c r="D411" s="4">
        <f>44.0657 * CHOOSE(CONTROL!$C$10, $C$13, 100%, $E$13) + CHOOSE(CONTROL!$C$29, 0.0021, 0)</f>
        <v>44.067799999999998</v>
      </c>
      <c r="E411" s="4">
        <f>204.616109115321 * CHOOSE(CONTROL!$C$10, $C$13, 100%, $E$13) + CHOOSE(CONTROL!$C$29, 0.0021, 0)</f>
        <v>204.61820911532101</v>
      </c>
    </row>
    <row r="412" spans="1:5" ht="15">
      <c r="A412" s="13">
        <v>53692</v>
      </c>
      <c r="B412" s="4">
        <f>31.5887 * CHOOSE(CONTROL!$C$10, $C$13, 100%, $E$13) + CHOOSE(CONTROL!$C$29, 0.0272, 0)</f>
        <v>31.6159</v>
      </c>
      <c r="C412" s="4">
        <f>31.2254 * CHOOSE(CONTROL!$C$10, $C$13, 100%, $E$13) + CHOOSE(CONTROL!$C$29, 0.0272, 0)</f>
        <v>31.252600000000001</v>
      </c>
      <c r="D412" s="4">
        <f>42.5657 * CHOOSE(CONTROL!$C$10, $C$13, 100%, $E$13) + CHOOSE(CONTROL!$C$29, 0.0021, 0)</f>
        <v>42.567799999999998</v>
      </c>
      <c r="E412" s="4">
        <f>201.411549246992 * CHOOSE(CONTROL!$C$10, $C$13, 100%, $E$13) + CHOOSE(CONTROL!$C$29, 0.0021, 0)</f>
        <v>201.41364924699201</v>
      </c>
    </row>
    <row r="413" spans="1:5" ht="15">
      <c r="A413" s="13">
        <v>53723</v>
      </c>
      <c r="B413" s="4">
        <f>30.3036 * CHOOSE(CONTROL!$C$10, $C$13, 100%, $E$13) + CHOOSE(CONTROL!$C$29, 0.0272, 0)</f>
        <v>30.3308</v>
      </c>
      <c r="C413" s="4">
        <f>29.9404 * CHOOSE(CONTROL!$C$10, $C$13, 100%, $E$13) + CHOOSE(CONTROL!$C$29, 0.0272, 0)</f>
        <v>29.967600000000001</v>
      </c>
      <c r="D413" s="4">
        <f>40.8388 * CHOOSE(CONTROL!$C$10, $C$13, 100%, $E$13) + CHOOSE(CONTROL!$C$29, 0.0021, 0)</f>
        <v>40.840899999999998</v>
      </c>
      <c r="E413" s="4">
        <f>193.021939803127 * CHOOSE(CONTROL!$C$10, $C$13, 100%, $E$13) + CHOOSE(CONTROL!$C$29, 0.0021, 0)</f>
        <v>193.02403980312701</v>
      </c>
    </row>
    <row r="414" spans="1:5" ht="15">
      <c r="A414" s="13">
        <v>53751</v>
      </c>
      <c r="B414" s="4">
        <f>31.0048 * CHOOSE(CONTROL!$C$10, $C$13, 100%, $E$13) + CHOOSE(CONTROL!$C$29, 0.0272, 0)</f>
        <v>31.032</v>
      </c>
      <c r="C414" s="4">
        <f>30.6415 * CHOOSE(CONTROL!$C$10, $C$13, 100%, $E$13) + CHOOSE(CONTROL!$C$29, 0.0272, 0)</f>
        <v>30.668700000000001</v>
      </c>
      <c r="D414" s="4">
        <f>42.2148 * CHOOSE(CONTROL!$C$10, $C$13, 100%, $E$13) + CHOOSE(CONTROL!$C$29, 0.0021, 0)</f>
        <v>42.216899999999995</v>
      </c>
      <c r="E414" s="4">
        <f>197.605041336039 * CHOOSE(CONTROL!$C$10, $C$13, 100%, $E$13) + CHOOSE(CONTROL!$C$29, 0.0021, 0)</f>
        <v>197.60714133603901</v>
      </c>
    </row>
    <row r="415" spans="1:5" ht="15">
      <c r="A415" s="13">
        <v>53782</v>
      </c>
      <c r="B415" s="4">
        <f>32.8461 * CHOOSE(CONTROL!$C$10, $C$13, 100%, $E$13) + CHOOSE(CONTROL!$C$29, 0.0272, 0)</f>
        <v>32.8733</v>
      </c>
      <c r="C415" s="4">
        <f>32.4828 * CHOOSE(CONTROL!$C$10, $C$13, 100%, $E$13) + CHOOSE(CONTROL!$C$29, 0.0272, 0)</f>
        <v>32.51</v>
      </c>
      <c r="D415" s="4">
        <f>44.3688 * CHOOSE(CONTROL!$C$10, $C$13, 100%, $E$13) + CHOOSE(CONTROL!$C$29, 0.0021, 0)</f>
        <v>44.370899999999999</v>
      </c>
      <c r="E415" s="4">
        <f>209.64050952227 * CHOOSE(CONTROL!$C$10, $C$13, 100%, $E$13) + CHOOSE(CONTROL!$C$29, 0.0021, 0)</f>
        <v>209.64260952227002</v>
      </c>
    </row>
    <row r="416" spans="1:5" ht="15">
      <c r="A416" s="13">
        <v>53812</v>
      </c>
      <c r="B416" s="4">
        <f>34.1544 * CHOOSE(CONTROL!$C$10, $C$13, 100%, $E$13) + CHOOSE(CONTROL!$C$29, 0.0272, 0)</f>
        <v>34.181600000000003</v>
      </c>
      <c r="C416" s="4">
        <f>33.7911 * CHOOSE(CONTROL!$C$10, $C$13, 100%, $E$13) + CHOOSE(CONTROL!$C$29, 0.0272, 0)</f>
        <v>33.818300000000001</v>
      </c>
      <c r="D416" s="4">
        <f>45.6096 * CHOOSE(CONTROL!$C$10, $C$13, 100%, $E$13) + CHOOSE(CONTROL!$C$29, 0.0021, 0)</f>
        <v>45.611699999999999</v>
      </c>
      <c r="E416" s="4">
        <f>218.19187006229 * CHOOSE(CONTROL!$C$10, $C$13, 100%, $E$13) + CHOOSE(CONTROL!$C$29, 0.0021, 0)</f>
        <v>218.19397006229002</v>
      </c>
    </row>
    <row r="417" spans="1:5" ht="15">
      <c r="A417" s="13">
        <v>53843</v>
      </c>
      <c r="B417" s="4">
        <f>34.9537 * CHOOSE(CONTROL!$C$10, $C$13, 100%, $E$13) + CHOOSE(CONTROL!$C$29, 0.0272, 0)</f>
        <v>34.980899999999998</v>
      </c>
      <c r="C417" s="4">
        <f>34.5904 * CHOOSE(CONTROL!$C$10, $C$13, 100%, $E$13) + CHOOSE(CONTROL!$C$29, 0.0272, 0)</f>
        <v>34.617600000000003</v>
      </c>
      <c r="D417" s="4">
        <f>45.1193 * CHOOSE(CONTROL!$C$10, $C$13, 100%, $E$13) + CHOOSE(CONTROL!$C$29, 0.0021, 0)</f>
        <v>45.121400000000001</v>
      </c>
      <c r="E417" s="4">
        <f>223.416546404734 * CHOOSE(CONTROL!$C$10, $C$13, 100%, $E$13) + CHOOSE(CONTROL!$C$29, 0.0021, 0)</f>
        <v>223.41864640473401</v>
      </c>
    </row>
    <row r="418" spans="1:5" ht="15">
      <c r="A418" s="13">
        <v>53873</v>
      </c>
      <c r="B418" s="4">
        <f>35.0618 * CHOOSE(CONTROL!$C$10, $C$13, 100%, $E$13) + CHOOSE(CONTROL!$C$29, 0.0272, 0)</f>
        <v>35.088999999999999</v>
      </c>
      <c r="C418" s="4">
        <f>34.6986 * CHOOSE(CONTROL!$C$10, $C$13, 100%, $E$13) + CHOOSE(CONTROL!$C$29, 0.0272, 0)</f>
        <v>34.7258</v>
      </c>
      <c r="D418" s="4">
        <f>45.5186 * CHOOSE(CONTROL!$C$10, $C$13, 100%, $E$13) + CHOOSE(CONTROL!$C$29, 0.0021, 0)</f>
        <v>45.520699999999998</v>
      </c>
      <c r="E418" s="4">
        <f>224.123466796719 * CHOOSE(CONTROL!$C$10, $C$13, 100%, $E$13) + CHOOSE(CONTROL!$C$29, 0.0021, 0)</f>
        <v>224.125566796719</v>
      </c>
    </row>
    <row r="419" spans="1:5" ht="15">
      <c r="A419" s="13">
        <v>53904</v>
      </c>
      <c r="B419" s="4">
        <f>35.0509 * CHOOSE(CONTROL!$C$10, $C$13, 100%, $E$13) + CHOOSE(CONTROL!$C$29, 0.0272, 0)</f>
        <v>35.078099999999999</v>
      </c>
      <c r="C419" s="4">
        <f>34.6876 * CHOOSE(CONTROL!$C$10, $C$13, 100%, $E$13) + CHOOSE(CONTROL!$C$29, 0.0272, 0)</f>
        <v>34.714800000000004</v>
      </c>
      <c r="D419" s="4">
        <f>46.2391 * CHOOSE(CONTROL!$C$10, $C$13, 100%, $E$13) + CHOOSE(CONTROL!$C$29, 0.0021, 0)</f>
        <v>46.241199999999999</v>
      </c>
      <c r="E419" s="4">
        <f>224.052180706771 * CHOOSE(CONTROL!$C$10, $C$13, 100%, $E$13) + CHOOSE(CONTROL!$C$29, 0.0021, 0)</f>
        <v>224.05428070677101</v>
      </c>
    </row>
    <row r="420" spans="1:5" ht="15">
      <c r="A420" s="13">
        <v>53935</v>
      </c>
      <c r="B420" s="4">
        <f>35.8716 * CHOOSE(CONTROL!$C$10, $C$13, 100%, $E$13) + CHOOSE(CONTROL!$C$29, 0.0272, 0)</f>
        <v>35.898800000000001</v>
      </c>
      <c r="C420" s="4">
        <f>35.5083 * CHOOSE(CONTROL!$C$10, $C$13, 100%, $E$13) + CHOOSE(CONTROL!$C$29, 0.0272, 0)</f>
        <v>35.535499999999999</v>
      </c>
      <c r="D420" s="4">
        <f>45.7633 * CHOOSE(CONTROL!$C$10, $C$13, 100%, $E$13) + CHOOSE(CONTROL!$C$29, 0.0021, 0)</f>
        <v>45.7654</v>
      </c>
      <c r="E420" s="4">
        <f>229.416458975363 * CHOOSE(CONTROL!$C$10, $C$13, 100%, $E$13) + CHOOSE(CONTROL!$C$29, 0.0021, 0)</f>
        <v>229.41855897536303</v>
      </c>
    </row>
    <row r="421" spans="1:5" ht="15">
      <c r="A421" s="13">
        <v>53965</v>
      </c>
      <c r="B421" s="4">
        <f>34.4729 * CHOOSE(CONTROL!$C$10, $C$13, 100%, $E$13) + CHOOSE(CONTROL!$C$29, 0.0272, 0)</f>
        <v>34.500100000000003</v>
      </c>
      <c r="C421" s="4">
        <f>34.1096 * CHOOSE(CONTROL!$C$10, $C$13, 100%, $E$13) + CHOOSE(CONTROL!$C$29, 0.0272, 0)</f>
        <v>34.136800000000001</v>
      </c>
      <c r="D421" s="4">
        <f>45.5385 * CHOOSE(CONTROL!$C$10, $C$13, 100%, $E$13) + CHOOSE(CONTROL!$C$29, 0.0021, 0)</f>
        <v>45.540599999999998</v>
      </c>
      <c r="E421" s="4">
        <f>220.274017939524 * CHOOSE(CONTROL!$C$10, $C$13, 100%, $E$13) + CHOOSE(CONTROL!$C$29, 0.0021, 0)</f>
        <v>220.276117939524</v>
      </c>
    </row>
    <row r="422" spans="1:5" ht="15">
      <c r="A422" s="13">
        <v>53996</v>
      </c>
      <c r="B422" s="4">
        <f>33.3532 * CHOOSE(CONTROL!$C$10, $C$13, 100%, $E$13) + CHOOSE(CONTROL!$C$29, 0.0272, 0)</f>
        <v>33.380400000000002</v>
      </c>
      <c r="C422" s="4">
        <f>32.9899 * CHOOSE(CONTROL!$C$10, $C$13, 100%, $E$13) + CHOOSE(CONTROL!$C$29, 0.0272, 0)</f>
        <v>33.017099999999999</v>
      </c>
      <c r="D422" s="4">
        <f>44.9365 * CHOOSE(CONTROL!$C$10, $C$13, 100%, $E$13) + CHOOSE(CONTROL!$C$29, 0.0021, 0)</f>
        <v>44.938600000000001</v>
      </c>
      <c r="E422" s="4">
        <f>212.955312704855 * CHOOSE(CONTROL!$C$10, $C$13, 100%, $E$13) + CHOOSE(CONTROL!$C$29, 0.0021, 0)</f>
        <v>212.95741270485502</v>
      </c>
    </row>
    <row r="423" spans="1:5" ht="15">
      <c r="A423" s="13">
        <v>54026</v>
      </c>
      <c r="B423" s="4">
        <f>32.6321 * CHOOSE(CONTROL!$C$10, $C$13, 100%, $E$13) + CHOOSE(CONTROL!$C$29, 0.0272, 0)</f>
        <v>32.659300000000002</v>
      </c>
      <c r="C423" s="4">
        <f>32.2688 * CHOOSE(CONTROL!$C$10, $C$13, 100%, $E$13) + CHOOSE(CONTROL!$C$29, 0.0272, 0)</f>
        <v>32.295999999999999</v>
      </c>
      <c r="D423" s="4">
        <f>44.7295 * CHOOSE(CONTROL!$C$10, $C$13, 100%, $E$13) + CHOOSE(CONTROL!$C$29, 0.0021, 0)</f>
        <v>44.7316</v>
      </c>
      <c r="E423" s="4">
        <f>208.241520007039 * CHOOSE(CONTROL!$C$10, $C$13, 100%, $E$13) + CHOOSE(CONTROL!$C$29, 0.0021, 0)</f>
        <v>208.24362000703903</v>
      </c>
    </row>
    <row r="424" spans="1:5" ht="15">
      <c r="A424" s="13">
        <v>54057</v>
      </c>
      <c r="B424" s="4">
        <f>32.1331 * CHOOSE(CONTROL!$C$10, $C$13, 100%, $E$13) + CHOOSE(CONTROL!$C$29, 0.0272, 0)</f>
        <v>32.160299999999999</v>
      </c>
      <c r="C424" s="4">
        <f>31.7698 * CHOOSE(CONTROL!$C$10, $C$13, 100%, $E$13) + CHOOSE(CONTROL!$C$29, 0.0272, 0)</f>
        <v>31.797000000000001</v>
      </c>
      <c r="D424" s="4">
        <f>43.206 * CHOOSE(CONTROL!$C$10, $C$13, 100%, $E$13) + CHOOSE(CONTROL!$C$29, 0.0021, 0)</f>
        <v>43.208100000000002</v>
      </c>
      <c r="E424" s="4">
        <f>204.980181391916 * CHOOSE(CONTROL!$C$10, $C$13, 100%, $E$13) + CHOOSE(CONTROL!$C$29, 0.0021, 0)</f>
        <v>204.98228139191602</v>
      </c>
    </row>
    <row r="425" spans="1:5" ht="15">
      <c r="A425" s="13">
        <v>54088</v>
      </c>
      <c r="B425" s="4">
        <f>30.8254 * CHOOSE(CONTROL!$C$10, $C$13, 100%, $E$13) + CHOOSE(CONTROL!$C$29, 0.0272, 0)</f>
        <v>30.852599999999999</v>
      </c>
      <c r="C425" s="4">
        <f>30.4621 * CHOOSE(CONTROL!$C$10, $C$13, 100%, $E$13) + CHOOSE(CONTROL!$C$29, 0.0272, 0)</f>
        <v>30.4893</v>
      </c>
      <c r="D425" s="4">
        <f>41.4518 * CHOOSE(CONTROL!$C$10, $C$13, 100%, $E$13) + CHOOSE(CONTROL!$C$29, 0.0021, 0)</f>
        <v>41.453899999999997</v>
      </c>
      <c r="E425" s="4">
        <f>196.441923918399 * CHOOSE(CONTROL!$C$10, $C$13, 100%, $E$13) + CHOOSE(CONTROL!$C$29, 0.0021, 0)</f>
        <v>196.44402391839901</v>
      </c>
    </row>
    <row r="426" spans="1:5" ht="15">
      <c r="A426" s="13">
        <v>54116</v>
      </c>
      <c r="B426" s="4">
        <f>31.5389 * CHOOSE(CONTROL!$C$10, $C$13, 100%, $E$13) + CHOOSE(CONTROL!$C$29, 0.0272, 0)</f>
        <v>31.566100000000002</v>
      </c>
      <c r="C426" s="4">
        <f>31.1757 * CHOOSE(CONTROL!$C$10, $C$13, 100%, $E$13) + CHOOSE(CONTROL!$C$29, 0.0272, 0)</f>
        <v>31.2029</v>
      </c>
      <c r="D426" s="4">
        <f>42.8495 * CHOOSE(CONTROL!$C$10, $C$13, 100%, $E$13) + CHOOSE(CONTROL!$C$29, 0.0021, 0)</f>
        <v>42.851599999999998</v>
      </c>
      <c r="E426" s="4">
        <f>201.106229352054 * CHOOSE(CONTROL!$C$10, $C$13, 100%, $E$13) + CHOOSE(CONTROL!$C$29, 0.0021, 0)</f>
        <v>201.108329352054</v>
      </c>
    </row>
    <row r="427" spans="1:5" ht="15">
      <c r="A427" s="13">
        <v>54148</v>
      </c>
      <c r="B427" s="4">
        <f>33.4128 * CHOOSE(CONTROL!$C$10, $C$13, 100%, $E$13) + CHOOSE(CONTROL!$C$29, 0.0272, 0)</f>
        <v>33.44</v>
      </c>
      <c r="C427" s="4">
        <f>33.0495 * CHOOSE(CONTROL!$C$10, $C$13, 100%, $E$13) + CHOOSE(CONTROL!$C$29, 0.0272, 0)</f>
        <v>33.076700000000002</v>
      </c>
      <c r="D427" s="4">
        <f>45.0374 * CHOOSE(CONTROL!$C$10, $C$13, 100%, $E$13) + CHOOSE(CONTROL!$C$29, 0.0021, 0)</f>
        <v>45.039499999999997</v>
      </c>
      <c r="E427" s="4">
        <f>213.354943297077 * CHOOSE(CONTROL!$C$10, $C$13, 100%, $E$13) + CHOOSE(CONTROL!$C$29, 0.0021, 0)</f>
        <v>213.35704329707701</v>
      </c>
    </row>
    <row r="428" spans="1:5" ht="15">
      <c r="A428" s="13">
        <v>54178</v>
      </c>
      <c r="B428" s="4">
        <f>34.7441 * CHOOSE(CONTROL!$C$10, $C$13, 100%, $E$13) + CHOOSE(CONTROL!$C$29, 0.0272, 0)</f>
        <v>34.771300000000004</v>
      </c>
      <c r="C428" s="4">
        <f>34.3809 * CHOOSE(CONTROL!$C$10, $C$13, 100%, $E$13) + CHOOSE(CONTROL!$C$29, 0.0272, 0)</f>
        <v>34.408099999999997</v>
      </c>
      <c r="D428" s="4">
        <f>46.2977 * CHOOSE(CONTROL!$C$10, $C$13, 100%, $E$13) + CHOOSE(CONTROL!$C$29, 0.0021, 0)</f>
        <v>46.299799999999998</v>
      </c>
      <c r="E428" s="4">
        <f>222.057817790592 * CHOOSE(CONTROL!$C$10, $C$13, 100%, $E$13) + CHOOSE(CONTROL!$C$29, 0.0021, 0)</f>
        <v>222.05991779059201</v>
      </c>
    </row>
    <row r="429" spans="1:5" ht="15">
      <c r="A429" s="13">
        <v>54209</v>
      </c>
      <c r="B429" s="4">
        <f>35.5576 * CHOOSE(CONTROL!$C$10, $C$13, 100%, $E$13) + CHOOSE(CONTROL!$C$29, 0.0272, 0)</f>
        <v>35.584800000000001</v>
      </c>
      <c r="C429" s="4">
        <f>35.1943 * CHOOSE(CONTROL!$C$10, $C$13, 100%, $E$13) + CHOOSE(CONTROL!$C$29, 0.0272, 0)</f>
        <v>35.221499999999999</v>
      </c>
      <c r="D429" s="4">
        <f>45.7997 * CHOOSE(CONTROL!$C$10, $C$13, 100%, $E$13) + CHOOSE(CONTROL!$C$29, 0.0021, 0)</f>
        <v>45.8018</v>
      </c>
      <c r="E429" s="4">
        <f>227.375065527339 * CHOOSE(CONTROL!$C$10, $C$13, 100%, $E$13) + CHOOSE(CONTROL!$C$29, 0.0021, 0)</f>
        <v>227.377165527339</v>
      </c>
    </row>
    <row r="430" spans="1:5" ht="15">
      <c r="A430" s="13">
        <v>54239</v>
      </c>
      <c r="B430" s="4">
        <f>35.6676 * CHOOSE(CONTROL!$C$10, $C$13, 100%, $E$13) + CHOOSE(CONTROL!$C$29, 0.0272, 0)</f>
        <v>35.694800000000001</v>
      </c>
      <c r="C430" s="4">
        <f>35.3044 * CHOOSE(CONTROL!$C$10, $C$13, 100%, $E$13) + CHOOSE(CONTROL!$C$29, 0.0272, 0)</f>
        <v>35.331600000000002</v>
      </c>
      <c r="D430" s="4">
        <f>46.2052 * CHOOSE(CONTROL!$C$10, $C$13, 100%, $E$13) + CHOOSE(CONTROL!$C$29, 0.0021, 0)</f>
        <v>46.207299999999996</v>
      </c>
      <c r="E430" s="4">
        <f>228.094511213152 * CHOOSE(CONTROL!$C$10, $C$13, 100%, $E$13) + CHOOSE(CONTROL!$C$29, 0.0021, 0)</f>
        <v>228.09661121315202</v>
      </c>
    </row>
    <row r="431" spans="1:5" ht="15">
      <c r="A431" s="13">
        <v>54270</v>
      </c>
      <c r="B431" s="4">
        <f>35.6566 * CHOOSE(CONTROL!$C$10, $C$13, 100%, $E$13) + CHOOSE(CONTROL!$C$29, 0.0272, 0)</f>
        <v>35.683799999999998</v>
      </c>
      <c r="C431" s="4">
        <f>35.2933 * CHOOSE(CONTROL!$C$10, $C$13, 100%, $E$13) + CHOOSE(CONTROL!$C$29, 0.0272, 0)</f>
        <v>35.320500000000003</v>
      </c>
      <c r="D431" s="4">
        <f>46.9371 * CHOOSE(CONTROL!$C$10, $C$13, 100%, $E$13) + CHOOSE(CONTROL!$C$29, 0.0021, 0)</f>
        <v>46.9392</v>
      </c>
      <c r="E431" s="4">
        <f>228.021962068364 * CHOOSE(CONTROL!$C$10, $C$13, 100%, $E$13) + CHOOSE(CONTROL!$C$29, 0.0021, 0)</f>
        <v>228.024062068364</v>
      </c>
    </row>
    <row r="432" spans="1:5" ht="15">
      <c r="A432" s="13">
        <v>54301</v>
      </c>
      <c r="B432" s="4">
        <f>36.4917 * CHOOSE(CONTROL!$C$10, $C$13, 100%, $E$13) + CHOOSE(CONTROL!$C$29, 0.0272, 0)</f>
        <v>36.518900000000002</v>
      </c>
      <c r="C432" s="4">
        <f>36.1284 * CHOOSE(CONTROL!$C$10, $C$13, 100%, $E$13) + CHOOSE(CONTROL!$C$29, 0.0272, 0)</f>
        <v>36.1556</v>
      </c>
      <c r="D432" s="4">
        <f>46.4538 * CHOOSE(CONTROL!$C$10, $C$13, 100%, $E$13) + CHOOSE(CONTROL!$C$29, 0.0021, 0)</f>
        <v>46.4559</v>
      </c>
      <c r="E432" s="4">
        <f>233.481285213654 * CHOOSE(CONTROL!$C$10, $C$13, 100%, $E$13) + CHOOSE(CONTROL!$C$29, 0.0021, 0)</f>
        <v>233.483385213654</v>
      </c>
    </row>
    <row r="433" spans="1:5" ht="15">
      <c r="A433" s="13">
        <v>54331</v>
      </c>
      <c r="B433" s="4">
        <f>35.0683 * CHOOSE(CONTROL!$C$10, $C$13, 100%, $E$13) + CHOOSE(CONTROL!$C$29, 0.0272, 0)</f>
        <v>35.095500000000001</v>
      </c>
      <c r="C433" s="4">
        <f>34.705 * CHOOSE(CONTROL!$C$10, $C$13, 100%, $E$13) + CHOOSE(CONTROL!$C$29, 0.0272, 0)</f>
        <v>34.732199999999999</v>
      </c>
      <c r="D433" s="4">
        <f>46.2254 * CHOOSE(CONTROL!$C$10, $C$13, 100%, $E$13) + CHOOSE(CONTROL!$C$29, 0.0021, 0)</f>
        <v>46.227499999999999</v>
      </c>
      <c r="E433" s="4">
        <f>224.176857394606 * CHOOSE(CONTROL!$C$10, $C$13, 100%, $E$13) + CHOOSE(CONTROL!$C$29, 0.0021, 0)</f>
        <v>224.17895739460602</v>
      </c>
    </row>
    <row r="434" spans="1:5" ht="15">
      <c r="A434" s="13">
        <v>54362</v>
      </c>
      <c r="B434" s="4">
        <f>33.9289 * CHOOSE(CONTROL!$C$10, $C$13, 100%, $E$13) + CHOOSE(CONTROL!$C$29, 0.0272, 0)</f>
        <v>33.956099999999999</v>
      </c>
      <c r="C434" s="4">
        <f>33.5656 * CHOOSE(CONTROL!$C$10, $C$13, 100%, $E$13) + CHOOSE(CONTROL!$C$29, 0.0272, 0)</f>
        <v>33.592800000000004</v>
      </c>
      <c r="D434" s="4">
        <f>45.614 * CHOOSE(CONTROL!$C$10, $C$13, 100%, $E$13) + CHOOSE(CONTROL!$C$29, 0.0021, 0)</f>
        <v>45.616099999999996</v>
      </c>
      <c r="E434" s="4">
        <f>216.728478529715 * CHOOSE(CONTROL!$C$10, $C$13, 100%, $E$13) + CHOOSE(CONTROL!$C$29, 0.0021, 0)</f>
        <v>216.73057852971502</v>
      </c>
    </row>
    <row r="435" spans="1:5" ht="15">
      <c r="A435" s="13">
        <v>54392</v>
      </c>
      <c r="B435" s="4">
        <f>33.195 * CHOOSE(CONTROL!$C$10, $C$13, 100%, $E$13) + CHOOSE(CONTROL!$C$29, 0.0272, 0)</f>
        <v>33.222200000000001</v>
      </c>
      <c r="C435" s="4">
        <f>32.8317 * CHOOSE(CONTROL!$C$10, $C$13, 100%, $E$13) + CHOOSE(CONTROL!$C$29, 0.0272, 0)</f>
        <v>32.858899999999998</v>
      </c>
      <c r="D435" s="4">
        <f>45.4038 * CHOOSE(CONTROL!$C$10, $C$13, 100%, $E$13) + CHOOSE(CONTROL!$C$29, 0.0021, 0)</f>
        <v>45.405899999999995</v>
      </c>
      <c r="E435" s="4">
        <f>211.931166330615 * CHOOSE(CONTROL!$C$10, $C$13, 100%, $E$13) + CHOOSE(CONTROL!$C$29, 0.0021, 0)</f>
        <v>211.93326633061503</v>
      </c>
    </row>
    <row r="436" spans="1:5" ht="15">
      <c r="A436" s="13">
        <v>54423</v>
      </c>
      <c r="B436" s="4">
        <f>32.6872 * CHOOSE(CONTROL!$C$10, $C$13, 100%, $E$13) + CHOOSE(CONTROL!$C$29, 0.0272, 0)</f>
        <v>32.714399999999998</v>
      </c>
      <c r="C436" s="4">
        <f>32.3239 * CHOOSE(CONTROL!$C$10, $C$13, 100%, $E$13) + CHOOSE(CONTROL!$C$29, 0.0272, 0)</f>
        <v>32.351100000000002</v>
      </c>
      <c r="D436" s="4">
        <f>43.8562 * CHOOSE(CONTROL!$C$10, $C$13, 100%, $E$13) + CHOOSE(CONTROL!$C$29, 0.0021, 0)</f>
        <v>43.8583</v>
      </c>
      <c r="E436" s="4">
        <f>208.612042956569 * CHOOSE(CONTROL!$C$10, $C$13, 100%, $E$13) + CHOOSE(CONTROL!$C$29, 0.0021, 0)</f>
        <v>208.61414295656903</v>
      </c>
    </row>
    <row r="437" spans="1:5" ht="15">
      <c r="A437" s="13">
        <v>54454</v>
      </c>
      <c r="B437" s="4">
        <f>31.3564 * CHOOSE(CONTROL!$C$10, $C$13, 100%, $E$13) + CHOOSE(CONTROL!$C$29, 0.0272, 0)</f>
        <v>31.383600000000001</v>
      </c>
      <c r="C437" s="4">
        <f>30.9931 * CHOOSE(CONTROL!$C$10, $C$13, 100%, $E$13) + CHOOSE(CONTROL!$C$29, 0.0272, 0)</f>
        <v>31.020299999999999</v>
      </c>
      <c r="D437" s="4">
        <f>42.0745 * CHOOSE(CONTROL!$C$10, $C$13, 100%, $E$13) + CHOOSE(CONTROL!$C$29, 0.0021, 0)</f>
        <v>42.076599999999999</v>
      </c>
      <c r="E437" s="4">
        <f>199.922503691141 * CHOOSE(CONTROL!$C$10, $C$13, 100%, $E$13) + CHOOSE(CONTROL!$C$29, 0.0021, 0)</f>
        <v>199.92460369114102</v>
      </c>
    </row>
    <row r="438" spans="1:5" ht="15">
      <c r="A438" s="13">
        <v>54482</v>
      </c>
      <c r="B438" s="4">
        <f>32.0825 * CHOOSE(CONTROL!$C$10, $C$13, 100%, $E$13) + CHOOSE(CONTROL!$C$29, 0.0272, 0)</f>
        <v>32.109700000000004</v>
      </c>
      <c r="C438" s="4">
        <f>31.7192 * CHOOSE(CONTROL!$C$10, $C$13, 100%, $E$13) + CHOOSE(CONTROL!$C$29, 0.0272, 0)</f>
        <v>31.746400000000001</v>
      </c>
      <c r="D438" s="4">
        <f>43.4942 * CHOOSE(CONTROL!$C$10, $C$13, 100%, $E$13) + CHOOSE(CONTROL!$C$29, 0.0021, 0)</f>
        <v>43.496299999999998</v>
      </c>
      <c r="E438" s="4">
        <f>204.669451805251 * CHOOSE(CONTROL!$C$10, $C$13, 100%, $E$13) + CHOOSE(CONTROL!$C$29, 0.0021, 0)</f>
        <v>204.671551805251</v>
      </c>
    </row>
    <row r="439" spans="1:5" ht="15">
      <c r="A439" s="13">
        <v>54513</v>
      </c>
      <c r="B439" s="4">
        <f>33.9895 * CHOOSE(CONTROL!$C$10, $C$13, 100%, $E$13) + CHOOSE(CONTROL!$C$29, 0.0272, 0)</f>
        <v>34.0167</v>
      </c>
      <c r="C439" s="4">
        <f>33.6262 * CHOOSE(CONTROL!$C$10, $C$13, 100%, $E$13) + CHOOSE(CONTROL!$C$29, 0.0272, 0)</f>
        <v>33.653399999999998</v>
      </c>
      <c r="D439" s="4">
        <f>45.7165 * CHOOSE(CONTROL!$C$10, $C$13, 100%, $E$13) + CHOOSE(CONTROL!$C$29, 0.0021, 0)</f>
        <v>45.718600000000002</v>
      </c>
      <c r="E439" s="4">
        <f>217.135189821047 * CHOOSE(CONTROL!$C$10, $C$13, 100%, $E$13) + CHOOSE(CONTROL!$C$29, 0.0021, 0)</f>
        <v>217.13728982104701</v>
      </c>
    </row>
    <row r="440" spans="1:5" ht="15">
      <c r="A440" s="13">
        <v>54543</v>
      </c>
      <c r="B440" s="4">
        <f>35.3444 * CHOOSE(CONTROL!$C$10, $C$13, 100%, $E$13) + CHOOSE(CONTROL!$C$29, 0.0272, 0)</f>
        <v>35.371600000000001</v>
      </c>
      <c r="C440" s="4">
        <f>34.9811 * CHOOSE(CONTROL!$C$10, $C$13, 100%, $E$13) + CHOOSE(CONTROL!$C$29, 0.0272, 0)</f>
        <v>35.008299999999998</v>
      </c>
      <c r="D440" s="4">
        <f>46.9966 * CHOOSE(CONTROL!$C$10, $C$13, 100%, $E$13) + CHOOSE(CONTROL!$C$29, 0.0021, 0)</f>
        <v>46.998699999999999</v>
      </c>
      <c r="E440" s="4">
        <f>225.992262809072 * CHOOSE(CONTROL!$C$10, $C$13, 100%, $E$13) + CHOOSE(CONTROL!$C$29, 0.0021, 0)</f>
        <v>225.99436280907202</v>
      </c>
    </row>
    <row r="441" spans="1:5" ht="15">
      <c r="A441" s="13">
        <v>54574</v>
      </c>
      <c r="B441" s="4">
        <f>36.1722 * CHOOSE(CONTROL!$C$10, $C$13, 100%, $E$13) + CHOOSE(CONTROL!$C$29, 0.0272, 0)</f>
        <v>36.199399999999997</v>
      </c>
      <c r="C441" s="4">
        <f>35.8089 * CHOOSE(CONTROL!$C$10, $C$13, 100%, $E$13) + CHOOSE(CONTROL!$C$29, 0.0272, 0)</f>
        <v>35.836100000000002</v>
      </c>
      <c r="D441" s="4">
        <f>46.4907 * CHOOSE(CONTROL!$C$10, $C$13, 100%, $E$13) + CHOOSE(CONTROL!$C$29, 0.0021, 0)</f>
        <v>46.492799999999995</v>
      </c>
      <c r="E441" s="4">
        <f>231.403722130341 * CHOOSE(CONTROL!$C$10, $C$13, 100%, $E$13) + CHOOSE(CONTROL!$C$29, 0.0021, 0)</f>
        <v>231.40582213034102</v>
      </c>
    </row>
    <row r="442" spans="1:5" ht="15">
      <c r="A442" s="13">
        <v>54604</v>
      </c>
      <c r="B442" s="4">
        <f>36.2842 * CHOOSE(CONTROL!$C$10, $C$13, 100%, $E$13) + CHOOSE(CONTROL!$C$29, 0.0272, 0)</f>
        <v>36.311399999999999</v>
      </c>
      <c r="C442" s="4">
        <f>35.9209 * CHOOSE(CONTROL!$C$10, $C$13, 100%, $E$13) + CHOOSE(CONTROL!$C$29, 0.0272, 0)</f>
        <v>35.948100000000004</v>
      </c>
      <c r="D442" s="4">
        <f>46.9027 * CHOOSE(CONTROL!$C$10, $C$13, 100%, $E$13) + CHOOSE(CONTROL!$C$29, 0.0021, 0)</f>
        <v>46.904800000000002</v>
      </c>
      <c r="E442" s="4">
        <f>232.135915034527 * CHOOSE(CONTROL!$C$10, $C$13, 100%, $E$13) + CHOOSE(CONTROL!$C$29, 0.0021, 0)</f>
        <v>232.138015034527</v>
      </c>
    </row>
    <row r="443" spans="1:5" ht="15">
      <c r="A443" s="13">
        <v>54635</v>
      </c>
      <c r="B443" s="4">
        <f>36.2729 * CHOOSE(CONTROL!$C$10, $C$13, 100%, $E$13) + CHOOSE(CONTROL!$C$29, 0.0272, 0)</f>
        <v>36.3001</v>
      </c>
      <c r="C443" s="4">
        <f>35.9096 * CHOOSE(CONTROL!$C$10, $C$13, 100%, $E$13) + CHOOSE(CONTROL!$C$29, 0.0272, 0)</f>
        <v>35.936799999999998</v>
      </c>
      <c r="D443" s="4">
        <f>47.646 * CHOOSE(CONTROL!$C$10, $C$13, 100%, $E$13) + CHOOSE(CONTROL!$C$29, 0.0021, 0)</f>
        <v>47.648099999999999</v>
      </c>
      <c r="E443" s="4">
        <f>232.062080455954 * CHOOSE(CONTROL!$C$10, $C$13, 100%, $E$13) + CHOOSE(CONTROL!$C$29, 0.0021, 0)</f>
        <v>232.06418045595402</v>
      </c>
    </row>
    <row r="444" spans="1:5" ht="15">
      <c r="A444" s="13">
        <v>54666</v>
      </c>
      <c r="B444" s="4">
        <f>37.1228 * CHOOSE(CONTROL!$C$10, $C$13, 100%, $E$13) + CHOOSE(CONTROL!$C$29, 0.0272, 0)</f>
        <v>37.15</v>
      </c>
      <c r="C444" s="4">
        <f>36.7595 * CHOOSE(CONTROL!$C$10, $C$13, 100%, $E$13) + CHOOSE(CONTROL!$C$29, 0.0272, 0)</f>
        <v>36.786700000000003</v>
      </c>
      <c r="D444" s="4">
        <f>47.1551 * CHOOSE(CONTROL!$C$10, $C$13, 100%, $E$13) + CHOOSE(CONTROL!$C$29, 0.0021, 0)</f>
        <v>47.157199999999996</v>
      </c>
      <c r="E444" s="4">
        <f>237.618132493596 * CHOOSE(CONTROL!$C$10, $C$13, 100%, $E$13) + CHOOSE(CONTROL!$C$29, 0.0021, 0)</f>
        <v>237.62023249359601</v>
      </c>
    </row>
    <row r="445" spans="1:5" ht="15">
      <c r="A445" s="13">
        <v>54696</v>
      </c>
      <c r="B445" s="4">
        <f>35.6743 * CHOOSE(CONTROL!$C$10, $C$13, 100%, $E$13) + CHOOSE(CONTROL!$C$29, 0.0272, 0)</f>
        <v>35.701500000000003</v>
      </c>
      <c r="C445" s="4">
        <f>35.311 * CHOOSE(CONTROL!$C$10, $C$13, 100%, $E$13) + CHOOSE(CONTROL!$C$29, 0.0272, 0)</f>
        <v>35.338200000000001</v>
      </c>
      <c r="D445" s="4">
        <f>46.9232 * CHOOSE(CONTROL!$C$10, $C$13, 100%, $E$13) + CHOOSE(CONTROL!$C$29, 0.0021, 0)</f>
        <v>46.9253</v>
      </c>
      <c r="E445" s="4">
        <f>228.148847791567 * CHOOSE(CONTROL!$C$10, $C$13, 100%, $E$13) + CHOOSE(CONTROL!$C$29, 0.0021, 0)</f>
        <v>228.15094779156701</v>
      </c>
    </row>
    <row r="446" spans="1:5" ht="15">
      <c r="A446" s="13">
        <v>54727</v>
      </c>
      <c r="B446" s="4">
        <f>34.5147 * CHOOSE(CONTROL!$C$10, $C$13, 100%, $E$13) + CHOOSE(CONTROL!$C$29, 0.0272, 0)</f>
        <v>34.541899999999998</v>
      </c>
      <c r="C446" s="4">
        <f>34.1514 * CHOOSE(CONTROL!$C$10, $C$13, 100%, $E$13) + CHOOSE(CONTROL!$C$29, 0.0272, 0)</f>
        <v>34.178600000000003</v>
      </c>
      <c r="D446" s="4">
        <f>46.3022 * CHOOSE(CONTROL!$C$10, $C$13, 100%, $E$13) + CHOOSE(CONTROL!$C$29, 0.0021, 0)</f>
        <v>46.304299999999998</v>
      </c>
      <c r="E446" s="4">
        <f>220.568497724706 * CHOOSE(CONTROL!$C$10, $C$13, 100%, $E$13) + CHOOSE(CONTROL!$C$29, 0.0021, 0)</f>
        <v>220.570597724706</v>
      </c>
    </row>
    <row r="447" spans="1:5" ht="15">
      <c r="A447" s="13">
        <v>54757</v>
      </c>
      <c r="B447" s="4">
        <f>33.7678 * CHOOSE(CONTROL!$C$10, $C$13, 100%, $E$13) + CHOOSE(CONTROL!$C$29, 0.0272, 0)</f>
        <v>33.795000000000002</v>
      </c>
      <c r="C447" s="4">
        <f>33.4045 * CHOOSE(CONTROL!$C$10, $C$13, 100%, $E$13) + CHOOSE(CONTROL!$C$29, 0.0272, 0)</f>
        <v>33.431699999999999</v>
      </c>
      <c r="D447" s="4">
        <f>46.0887 * CHOOSE(CONTROL!$C$10, $C$13, 100%, $E$13) + CHOOSE(CONTROL!$C$29, 0.0021, 0)</f>
        <v>46.090800000000002</v>
      </c>
      <c r="E447" s="4">
        <f>215.686186216545 * CHOOSE(CONTROL!$C$10, $C$13, 100%, $E$13) + CHOOSE(CONTROL!$C$29, 0.0021, 0)</f>
        <v>215.68828621654501</v>
      </c>
    </row>
    <row r="448" spans="1:5" ht="15">
      <c r="A448" s="13">
        <v>54788</v>
      </c>
      <c r="B448" s="4">
        <f>33.2511 * CHOOSE(CONTROL!$C$10, $C$13, 100%, $E$13) + CHOOSE(CONTROL!$C$29, 0.0272, 0)</f>
        <v>33.278300000000002</v>
      </c>
      <c r="C448" s="4">
        <f>32.8878 * CHOOSE(CONTROL!$C$10, $C$13, 100%, $E$13) + CHOOSE(CONTROL!$C$29, 0.0272, 0)</f>
        <v>32.914999999999999</v>
      </c>
      <c r="D448" s="4">
        <f>44.5168 * CHOOSE(CONTROL!$C$10, $C$13, 100%, $E$13) + CHOOSE(CONTROL!$C$29, 0.0021, 0)</f>
        <v>44.518900000000002</v>
      </c>
      <c r="E448" s="4">
        <f>212.308254246816 * CHOOSE(CONTROL!$C$10, $C$13, 100%, $E$13) + CHOOSE(CONTROL!$C$29, 0.0021, 0)</f>
        <v>212.31035424681602</v>
      </c>
    </row>
    <row r="449" spans="1:5" ht="15">
      <c r="A449" s="13">
        <v>54819</v>
      </c>
      <c r="B449" s="4">
        <f>31.8967 * CHOOSE(CONTROL!$C$10, $C$13, 100%, $E$13) + CHOOSE(CONTROL!$C$29, 0.0272, 0)</f>
        <v>31.9239</v>
      </c>
      <c r="C449" s="4">
        <f>31.5334 * CHOOSE(CONTROL!$C$10, $C$13, 100%, $E$13) + CHOOSE(CONTROL!$C$29, 0.0272, 0)</f>
        <v>31.560600000000001</v>
      </c>
      <c r="D449" s="4">
        <f>42.707 * CHOOSE(CONTROL!$C$10, $C$13, 100%, $E$13) + CHOOSE(CONTROL!$C$29, 0.0021, 0)</f>
        <v>42.709099999999999</v>
      </c>
      <c r="E449" s="4">
        <f>203.464752761927 * CHOOSE(CONTROL!$C$10, $C$13, 100%, $E$13) + CHOOSE(CONTROL!$C$29, 0.0021, 0)</f>
        <v>203.46685276192702</v>
      </c>
    </row>
    <row r="450" spans="1:5" ht="15">
      <c r="A450" s="13">
        <v>54847</v>
      </c>
      <c r="B450" s="4">
        <f>32.6357 * CHOOSE(CONTROL!$C$10, $C$13, 100%, $E$13) + CHOOSE(CONTROL!$C$29, 0.0272, 0)</f>
        <v>32.6629</v>
      </c>
      <c r="C450" s="4">
        <f>32.2724 * CHOOSE(CONTROL!$C$10, $C$13, 100%, $E$13) + CHOOSE(CONTROL!$C$29, 0.0272, 0)</f>
        <v>32.299599999999998</v>
      </c>
      <c r="D450" s="4">
        <f>44.149 * CHOOSE(CONTROL!$C$10, $C$13, 100%, $E$13) + CHOOSE(CONTROL!$C$29, 0.0021, 0)</f>
        <v>44.1511</v>
      </c>
      <c r="E450" s="4">
        <f>208.29580782866 * CHOOSE(CONTROL!$C$10, $C$13, 100%, $E$13) + CHOOSE(CONTROL!$C$29, 0.0021, 0)</f>
        <v>208.29790782866002</v>
      </c>
    </row>
    <row r="451" spans="1:5" ht="15">
      <c r="A451" s="13">
        <v>54878</v>
      </c>
      <c r="B451" s="4">
        <f>34.5763 * CHOOSE(CONTROL!$C$10, $C$13, 100%, $E$13) + CHOOSE(CONTROL!$C$29, 0.0272, 0)</f>
        <v>34.603500000000004</v>
      </c>
      <c r="C451" s="4">
        <f>34.213 * CHOOSE(CONTROL!$C$10, $C$13, 100%, $E$13) + CHOOSE(CONTROL!$C$29, 0.0272, 0)</f>
        <v>34.240200000000002</v>
      </c>
      <c r="D451" s="4">
        <f>46.4062 * CHOOSE(CONTROL!$C$10, $C$13, 100%, $E$13) + CHOOSE(CONTROL!$C$29, 0.0021, 0)</f>
        <v>46.408299999999997</v>
      </c>
      <c r="E451" s="4">
        <f>220.98241517176 * CHOOSE(CONTROL!$C$10, $C$13, 100%, $E$13) + CHOOSE(CONTROL!$C$29, 0.0021, 0)</f>
        <v>220.98451517176002</v>
      </c>
    </row>
    <row r="452" spans="1:5" ht="15">
      <c r="A452" s="13">
        <v>54908</v>
      </c>
      <c r="B452" s="4">
        <f>35.9552 * CHOOSE(CONTROL!$C$10, $C$13, 100%, $E$13) + CHOOSE(CONTROL!$C$29, 0.0272, 0)</f>
        <v>35.982399999999998</v>
      </c>
      <c r="C452" s="4">
        <f>35.5919 * CHOOSE(CONTROL!$C$10, $C$13, 100%, $E$13) + CHOOSE(CONTROL!$C$29, 0.0272, 0)</f>
        <v>35.619100000000003</v>
      </c>
      <c r="D452" s="4">
        <f>47.7065 * CHOOSE(CONTROL!$C$10, $C$13, 100%, $E$13) + CHOOSE(CONTROL!$C$29, 0.0021, 0)</f>
        <v>47.708599999999997</v>
      </c>
      <c r="E452" s="4">
        <f>229.996418760305 * CHOOSE(CONTROL!$C$10, $C$13, 100%, $E$13) + CHOOSE(CONTROL!$C$29, 0.0021, 0)</f>
        <v>229.99851876030502</v>
      </c>
    </row>
    <row r="453" spans="1:5" ht="15">
      <c r="A453" s="13">
        <v>54939</v>
      </c>
      <c r="B453" s="4">
        <f>36.7976 * CHOOSE(CONTROL!$C$10, $C$13, 100%, $E$13) + CHOOSE(CONTROL!$C$29, 0.0272, 0)</f>
        <v>36.824800000000003</v>
      </c>
      <c r="C453" s="4">
        <f>36.4343 * CHOOSE(CONTROL!$C$10, $C$13, 100%, $E$13) + CHOOSE(CONTROL!$C$29, 0.0272, 0)</f>
        <v>36.461500000000001</v>
      </c>
      <c r="D453" s="4">
        <f>47.1927 * CHOOSE(CONTROL!$C$10, $C$13, 100%, $E$13) + CHOOSE(CONTROL!$C$29, 0.0021, 0)</f>
        <v>47.194800000000001</v>
      </c>
      <c r="E453" s="4">
        <f>235.50375891739 * CHOOSE(CONTROL!$C$10, $C$13, 100%, $E$13) + CHOOSE(CONTROL!$C$29, 0.0021, 0)</f>
        <v>235.50585891739001</v>
      </c>
    </row>
    <row r="454" spans="1:5" ht="15">
      <c r="A454" s="13">
        <v>54969</v>
      </c>
      <c r="B454" s="4">
        <f>36.9116 * CHOOSE(CONTROL!$C$10, $C$13, 100%, $E$13) + CHOOSE(CONTROL!$C$29, 0.0272, 0)</f>
        <v>36.938800000000001</v>
      </c>
      <c r="C454" s="4">
        <f>36.5483 * CHOOSE(CONTROL!$C$10, $C$13, 100%, $E$13) + CHOOSE(CONTROL!$C$29, 0.0272, 0)</f>
        <v>36.575499999999998</v>
      </c>
      <c r="D454" s="4">
        <f>47.6111 * CHOOSE(CONTROL!$C$10, $C$13, 100%, $E$13) + CHOOSE(CONTROL!$C$29, 0.0021, 0)</f>
        <v>47.613199999999999</v>
      </c>
      <c r="E454" s="4">
        <f>236.248924896575 * CHOOSE(CONTROL!$C$10, $C$13, 100%, $E$13) + CHOOSE(CONTROL!$C$29, 0.0021, 0)</f>
        <v>236.25102489657502</v>
      </c>
    </row>
    <row r="455" spans="1:5" ht="15">
      <c r="A455" s="13">
        <v>55000</v>
      </c>
      <c r="B455" s="4">
        <f>36.9001 * CHOOSE(CONTROL!$C$10, $C$13, 100%, $E$13) + CHOOSE(CONTROL!$C$29, 0.0272, 0)</f>
        <v>36.927300000000002</v>
      </c>
      <c r="C455" s="4">
        <f>36.5368 * CHOOSE(CONTROL!$C$10, $C$13, 100%, $E$13) + CHOOSE(CONTROL!$C$29, 0.0272, 0)</f>
        <v>36.564</v>
      </c>
      <c r="D455" s="4">
        <f>48.3662 * CHOOSE(CONTROL!$C$10, $C$13, 100%, $E$13) + CHOOSE(CONTROL!$C$29, 0.0021, 0)</f>
        <v>48.368299999999998</v>
      </c>
      <c r="E455" s="4">
        <f>236.173782108759 * CHOOSE(CONTROL!$C$10, $C$13, 100%, $E$13) + CHOOSE(CONTROL!$C$29, 0.0021, 0)</f>
        <v>236.17588210875903</v>
      </c>
    </row>
    <row r="456" spans="1:5" ht="15">
      <c r="A456" s="13">
        <v>55031</v>
      </c>
      <c r="B456" s="4">
        <f>37.765 * CHOOSE(CONTROL!$C$10, $C$13, 100%, $E$13) + CHOOSE(CONTROL!$C$29, 0.0272, 0)</f>
        <v>37.792200000000001</v>
      </c>
      <c r="C456" s="4">
        <f>37.4018 * CHOOSE(CONTROL!$C$10, $C$13, 100%, $E$13) + CHOOSE(CONTROL!$C$29, 0.0272, 0)</f>
        <v>37.429000000000002</v>
      </c>
      <c r="D456" s="4">
        <f>47.8675 * CHOOSE(CONTROL!$C$10, $C$13, 100%, $E$13) + CHOOSE(CONTROL!$C$29, 0.0021, 0)</f>
        <v>47.869599999999998</v>
      </c>
      <c r="E456" s="4">
        <f>241.828276891986 * CHOOSE(CONTROL!$C$10, $C$13, 100%, $E$13) + CHOOSE(CONTROL!$C$29, 0.0021, 0)</f>
        <v>241.83037689198602</v>
      </c>
    </row>
    <row r="457" spans="1:5" ht="15">
      <c r="A457" s="13">
        <v>55061</v>
      </c>
      <c r="B457" s="4">
        <f>36.2909 * CHOOSE(CONTROL!$C$10, $C$13, 100%, $E$13) + CHOOSE(CONTROL!$C$29, 0.0272, 0)</f>
        <v>36.318100000000001</v>
      </c>
      <c r="C457" s="4">
        <f>35.9276 * CHOOSE(CONTROL!$C$10, $C$13, 100%, $E$13) + CHOOSE(CONTROL!$C$29, 0.0272, 0)</f>
        <v>35.954799999999999</v>
      </c>
      <c r="D457" s="4">
        <f>47.6319 * CHOOSE(CONTROL!$C$10, $C$13, 100%, $E$13) + CHOOSE(CONTROL!$C$29, 0.0021, 0)</f>
        <v>47.634</v>
      </c>
      <c r="E457" s="4">
        <f>232.191214354459 * CHOOSE(CONTROL!$C$10, $C$13, 100%, $E$13) + CHOOSE(CONTROL!$C$29, 0.0021, 0)</f>
        <v>232.19331435445901</v>
      </c>
    </row>
    <row r="458" spans="1:5" ht="15">
      <c r="A458" s="13">
        <v>55092</v>
      </c>
      <c r="B458" s="4">
        <f>35.1108 * CHOOSE(CONTROL!$C$10, $C$13, 100%, $E$13) + CHOOSE(CONTROL!$C$29, 0.0272, 0)</f>
        <v>35.137999999999998</v>
      </c>
      <c r="C458" s="4">
        <f>34.7475 * CHOOSE(CONTROL!$C$10, $C$13, 100%, $E$13) + CHOOSE(CONTROL!$C$29, 0.0272, 0)</f>
        <v>34.774700000000003</v>
      </c>
      <c r="D458" s="4">
        <f>47.0011 * CHOOSE(CONTROL!$C$10, $C$13, 100%, $E$13) + CHOOSE(CONTROL!$C$29, 0.0021, 0)</f>
        <v>47.0032</v>
      </c>
      <c r="E458" s="4">
        <f>224.476554805249 * CHOOSE(CONTROL!$C$10, $C$13, 100%, $E$13) + CHOOSE(CONTROL!$C$29, 0.0021, 0)</f>
        <v>224.47865480524902</v>
      </c>
    </row>
    <row r="459" spans="1:5" ht="15">
      <c r="A459" s="13">
        <v>55122</v>
      </c>
      <c r="B459" s="4">
        <f>34.3507 * CHOOSE(CONTROL!$C$10, $C$13, 100%, $E$13) + CHOOSE(CONTROL!$C$29, 0.0272, 0)</f>
        <v>34.377900000000004</v>
      </c>
      <c r="C459" s="4">
        <f>33.9875 * CHOOSE(CONTROL!$C$10, $C$13, 100%, $E$13) + CHOOSE(CONTROL!$C$29, 0.0272, 0)</f>
        <v>34.014699999999998</v>
      </c>
      <c r="D459" s="4">
        <f>46.7843 * CHOOSE(CONTROL!$C$10, $C$13, 100%, $E$13) + CHOOSE(CONTROL!$C$29, 0.0021, 0)</f>
        <v>46.7864</v>
      </c>
      <c r="E459" s="4">
        <f>219.507737960851 * CHOOSE(CONTROL!$C$10, $C$13, 100%, $E$13) + CHOOSE(CONTROL!$C$29, 0.0021, 0)</f>
        <v>219.509837960851</v>
      </c>
    </row>
    <row r="460" spans="1:5" ht="15">
      <c r="A460" s="13">
        <v>55153</v>
      </c>
      <c r="B460" s="4">
        <f>33.8249 * CHOOSE(CONTROL!$C$10, $C$13, 100%, $E$13) + CHOOSE(CONTROL!$C$29, 0.0272, 0)</f>
        <v>33.8521</v>
      </c>
      <c r="C460" s="4">
        <f>33.4616 * CHOOSE(CONTROL!$C$10, $C$13, 100%, $E$13) + CHOOSE(CONTROL!$C$29, 0.0272, 0)</f>
        <v>33.488799999999998</v>
      </c>
      <c r="D460" s="4">
        <f>45.1877 * CHOOSE(CONTROL!$C$10, $C$13, 100%, $E$13) + CHOOSE(CONTROL!$C$29, 0.0021, 0)</f>
        <v>45.189799999999998</v>
      </c>
      <c r="E460" s="4">
        <f>216.069955418225 * CHOOSE(CONTROL!$C$10, $C$13, 100%, $E$13) + CHOOSE(CONTROL!$C$29, 0.0021, 0)</f>
        <v>216.07205541822501</v>
      </c>
    </row>
    <row r="461" spans="1:5" ht="15">
      <c r="A461" s="13">
        <v>55184</v>
      </c>
      <c r="B461" s="4">
        <f>32.4466 * CHOOSE(CONTROL!$C$10, $C$13, 100%, $E$13) + CHOOSE(CONTROL!$C$29, 0.0272, 0)</f>
        <v>32.473799999999997</v>
      </c>
      <c r="C461" s="4">
        <f>32.0833 * CHOOSE(CONTROL!$C$10, $C$13, 100%, $E$13) + CHOOSE(CONTROL!$C$29, 0.0272, 0)</f>
        <v>32.110500000000002</v>
      </c>
      <c r="D461" s="4">
        <f>43.3495 * CHOOSE(CONTROL!$C$10, $C$13, 100%, $E$13) + CHOOSE(CONTROL!$C$29, 0.0021, 0)</f>
        <v>43.351599999999998</v>
      </c>
      <c r="E461" s="4">
        <f>207.069763794212 * CHOOSE(CONTROL!$C$10, $C$13, 100%, $E$13) + CHOOSE(CONTROL!$C$29, 0.0021, 0)</f>
        <v>207.07186379421202</v>
      </c>
    </row>
    <row r="462" spans="1:5" ht="15">
      <c r="A462" s="13">
        <v>55212</v>
      </c>
      <c r="B462" s="4">
        <f>33.1986 * CHOOSE(CONTROL!$C$10, $C$13, 100%, $E$13) + CHOOSE(CONTROL!$C$29, 0.0272, 0)</f>
        <v>33.2258</v>
      </c>
      <c r="C462" s="4">
        <f>32.8354 * CHOOSE(CONTROL!$C$10, $C$13, 100%, $E$13) + CHOOSE(CONTROL!$C$29, 0.0272, 0)</f>
        <v>32.8626</v>
      </c>
      <c r="D462" s="4">
        <f>44.8141 * CHOOSE(CONTROL!$C$10, $C$13, 100%, $E$13) + CHOOSE(CONTROL!$C$29, 0.0021, 0)</f>
        <v>44.816200000000002</v>
      </c>
      <c r="E462" s="4">
        <f>211.986416029874 * CHOOSE(CONTROL!$C$10, $C$13, 100%, $E$13) + CHOOSE(CONTROL!$C$29, 0.0021, 0)</f>
        <v>211.98851602987401</v>
      </c>
    </row>
    <row r="463" spans="1:5" ht="15">
      <c r="A463" s="13">
        <v>55243</v>
      </c>
      <c r="B463" s="4">
        <f>35.1736 * CHOOSE(CONTROL!$C$10, $C$13, 100%, $E$13) + CHOOSE(CONTROL!$C$29, 0.0272, 0)</f>
        <v>35.200800000000001</v>
      </c>
      <c r="C463" s="4">
        <f>34.8103 * CHOOSE(CONTROL!$C$10, $C$13, 100%, $E$13) + CHOOSE(CONTROL!$C$29, 0.0272, 0)</f>
        <v>34.837499999999999</v>
      </c>
      <c r="D463" s="4">
        <f>47.1068 * CHOOSE(CONTROL!$C$10, $C$13, 100%, $E$13) + CHOOSE(CONTROL!$C$29, 0.0021, 0)</f>
        <v>47.108899999999998</v>
      </c>
      <c r="E463" s="4">
        <f>224.897806087489 * CHOOSE(CONTROL!$C$10, $C$13, 100%, $E$13) + CHOOSE(CONTROL!$C$29, 0.0021, 0)</f>
        <v>224.899906087489</v>
      </c>
    </row>
    <row r="464" spans="1:5" ht="15">
      <c r="A464" s="13">
        <v>55273</v>
      </c>
      <c r="B464" s="4">
        <f>36.5768 * CHOOSE(CONTROL!$C$10, $C$13, 100%, $E$13) + CHOOSE(CONTROL!$C$29, 0.0272, 0)</f>
        <v>36.603999999999999</v>
      </c>
      <c r="C464" s="4">
        <f>36.2135 * CHOOSE(CONTROL!$C$10, $C$13, 100%, $E$13) + CHOOSE(CONTROL!$C$29, 0.0272, 0)</f>
        <v>36.240700000000004</v>
      </c>
      <c r="D464" s="4">
        <f>48.4275 * CHOOSE(CONTROL!$C$10, $C$13, 100%, $E$13) + CHOOSE(CONTROL!$C$29, 0.0021, 0)</f>
        <v>48.429600000000001</v>
      </c>
      <c r="E464" s="4">
        <f>234.071520790321 * CHOOSE(CONTROL!$C$10, $C$13, 100%, $E$13) + CHOOSE(CONTROL!$C$29, 0.0021, 0)</f>
        <v>234.073620790321</v>
      </c>
    </row>
    <row r="465" spans="1:5" ht="15">
      <c r="A465" s="13">
        <v>55304</v>
      </c>
      <c r="B465" s="4">
        <f>37.4341 * CHOOSE(CONTROL!$C$10, $C$13, 100%, $E$13) + CHOOSE(CONTROL!$C$29, 0.0272, 0)</f>
        <v>37.461300000000001</v>
      </c>
      <c r="C465" s="4">
        <f>37.0708 * CHOOSE(CONTROL!$C$10, $C$13, 100%, $E$13) + CHOOSE(CONTROL!$C$29, 0.0272, 0)</f>
        <v>37.097999999999999</v>
      </c>
      <c r="D465" s="4">
        <f>47.9057 * CHOOSE(CONTROL!$C$10, $C$13, 100%, $E$13) + CHOOSE(CONTROL!$C$29, 0.0021, 0)</f>
        <v>47.907800000000002</v>
      </c>
      <c r="E465" s="4">
        <f>239.676440610495 * CHOOSE(CONTROL!$C$10, $C$13, 100%, $E$13) + CHOOSE(CONTROL!$C$29, 0.0021, 0)</f>
        <v>239.67854061049502</v>
      </c>
    </row>
    <row r="466" spans="1:5" ht="15">
      <c r="A466" s="13">
        <v>55334</v>
      </c>
      <c r="B466" s="4">
        <f>37.5501 * CHOOSE(CONTROL!$C$10, $C$13, 100%, $E$13) + CHOOSE(CONTROL!$C$29, 0.0272, 0)</f>
        <v>37.577300000000001</v>
      </c>
      <c r="C466" s="4">
        <f>37.1868 * CHOOSE(CONTROL!$C$10, $C$13, 100%, $E$13) + CHOOSE(CONTROL!$C$29, 0.0272, 0)</f>
        <v>37.213999999999999</v>
      </c>
      <c r="D466" s="4">
        <f>48.3307 * CHOOSE(CONTROL!$C$10, $C$13, 100%, $E$13) + CHOOSE(CONTROL!$C$29, 0.0021, 0)</f>
        <v>48.332799999999999</v>
      </c>
      <c r="E466" s="4">
        <f>240.43480952306 * CHOOSE(CONTROL!$C$10, $C$13, 100%, $E$13) + CHOOSE(CONTROL!$C$29, 0.0021, 0)</f>
        <v>240.43690952306002</v>
      </c>
    </row>
    <row r="467" spans="1:5" ht="15">
      <c r="A467" s="13">
        <v>55365</v>
      </c>
      <c r="B467" s="4">
        <f>37.5384 * CHOOSE(CONTROL!$C$10, $C$13, 100%, $E$13) + CHOOSE(CONTROL!$C$29, 0.0272, 0)</f>
        <v>37.565600000000003</v>
      </c>
      <c r="C467" s="4">
        <f>37.1751 * CHOOSE(CONTROL!$C$10, $C$13, 100%, $E$13) + CHOOSE(CONTROL!$C$29, 0.0272, 0)</f>
        <v>37.202300000000001</v>
      </c>
      <c r="D467" s="4">
        <f>49.0976 * CHOOSE(CONTROL!$C$10, $C$13, 100%, $E$13) + CHOOSE(CONTROL!$C$29, 0.0021, 0)</f>
        <v>49.099699999999999</v>
      </c>
      <c r="E467" s="4">
        <f>240.358335347003 * CHOOSE(CONTROL!$C$10, $C$13, 100%, $E$13) + CHOOSE(CONTROL!$C$29, 0.0021, 0)</f>
        <v>240.360435347003</v>
      </c>
    </row>
    <row r="468" spans="1:5" ht="15">
      <c r="A468" s="13">
        <v>55396</v>
      </c>
      <c r="B468" s="4">
        <f>38.4186 * CHOOSE(CONTROL!$C$10, $C$13, 100%, $E$13) + CHOOSE(CONTROL!$C$29, 0.0272, 0)</f>
        <v>38.445799999999998</v>
      </c>
      <c r="C468" s="4">
        <f>38.0553 * CHOOSE(CONTROL!$C$10, $C$13, 100%, $E$13) + CHOOSE(CONTROL!$C$29, 0.0272, 0)</f>
        <v>38.082500000000003</v>
      </c>
      <c r="D468" s="4">
        <f>48.5911 * CHOOSE(CONTROL!$C$10, $C$13, 100%, $E$13) + CHOOSE(CONTROL!$C$29, 0.0021, 0)</f>
        <v>48.593199999999996</v>
      </c>
      <c r="E468" s="4">
        <f>246.113017095289 * CHOOSE(CONTROL!$C$10, $C$13, 100%, $E$13) + CHOOSE(CONTROL!$C$29, 0.0021, 0)</f>
        <v>246.11511709528901</v>
      </c>
    </row>
    <row r="469" spans="1:5" ht="15">
      <c r="A469" s="13">
        <v>55426</v>
      </c>
      <c r="B469" s="4">
        <f>36.9184 * CHOOSE(CONTROL!$C$10, $C$13, 100%, $E$13) + CHOOSE(CONTROL!$C$29, 0.0272, 0)</f>
        <v>36.945599999999999</v>
      </c>
      <c r="C469" s="4">
        <f>36.5551 * CHOOSE(CONTROL!$C$10, $C$13, 100%, $E$13) + CHOOSE(CONTROL!$C$29, 0.0272, 0)</f>
        <v>36.582300000000004</v>
      </c>
      <c r="D469" s="4">
        <f>48.3518 * CHOOSE(CONTROL!$C$10, $C$13, 100%, $E$13) + CHOOSE(CONTROL!$C$29, 0.0021, 0)</f>
        <v>48.353899999999996</v>
      </c>
      <c r="E469" s="4">
        <f>236.305204015985 * CHOOSE(CONTROL!$C$10, $C$13, 100%, $E$13) + CHOOSE(CONTROL!$C$29, 0.0021, 0)</f>
        <v>236.30730401598501</v>
      </c>
    </row>
    <row r="470" spans="1:5" ht="15">
      <c r="A470" s="13">
        <v>55457</v>
      </c>
      <c r="B470" s="4">
        <f>35.7175 * CHOOSE(CONTROL!$C$10, $C$13, 100%, $E$13) + CHOOSE(CONTROL!$C$29, 0.0272, 0)</f>
        <v>35.744700000000002</v>
      </c>
      <c r="C470" s="4">
        <f>35.3542 * CHOOSE(CONTROL!$C$10, $C$13, 100%, $E$13) + CHOOSE(CONTROL!$C$29, 0.0272, 0)</f>
        <v>35.381399999999999</v>
      </c>
      <c r="D470" s="4">
        <f>47.7111 * CHOOSE(CONTROL!$C$10, $C$13, 100%, $E$13) + CHOOSE(CONTROL!$C$29, 0.0021, 0)</f>
        <v>47.713200000000001</v>
      </c>
      <c r="E470" s="4">
        <f>228.453855274138 * CHOOSE(CONTROL!$C$10, $C$13, 100%, $E$13) + CHOOSE(CONTROL!$C$29, 0.0021, 0)</f>
        <v>228.45595527413801</v>
      </c>
    </row>
    <row r="471" spans="1:5" ht="15">
      <c r="A471" s="13">
        <v>55487</v>
      </c>
      <c r="B471" s="4">
        <f>34.944 * CHOOSE(CONTROL!$C$10, $C$13, 100%, $E$13) + CHOOSE(CONTROL!$C$29, 0.0272, 0)</f>
        <v>34.971200000000003</v>
      </c>
      <c r="C471" s="4">
        <f>34.5807 * CHOOSE(CONTROL!$C$10, $C$13, 100%, $E$13) + CHOOSE(CONTROL!$C$29, 0.0272, 0)</f>
        <v>34.607900000000001</v>
      </c>
      <c r="D471" s="4">
        <f>47.4908 * CHOOSE(CONTROL!$C$10, $C$13, 100%, $E$13) + CHOOSE(CONTROL!$C$29, 0.0021, 0)</f>
        <v>47.492899999999999</v>
      </c>
      <c r="E471" s="4">
        <f>223.397000382372 * CHOOSE(CONTROL!$C$10, $C$13, 100%, $E$13) + CHOOSE(CONTROL!$C$29, 0.0021, 0)</f>
        <v>223.39910038237201</v>
      </c>
    </row>
    <row r="472" spans="1:5" ht="15">
      <c r="A472" s="13">
        <v>55518</v>
      </c>
      <c r="B472" s="4">
        <f>34.4088 * CHOOSE(CONTROL!$C$10, $C$13, 100%, $E$13) + CHOOSE(CONTROL!$C$29, 0.0272, 0)</f>
        <v>34.436</v>
      </c>
      <c r="C472" s="4">
        <f>34.0456 * CHOOSE(CONTROL!$C$10, $C$13, 100%, $E$13) + CHOOSE(CONTROL!$C$29, 0.0272, 0)</f>
        <v>34.072800000000001</v>
      </c>
      <c r="D472" s="4">
        <f>45.8691 * CHOOSE(CONTROL!$C$10, $C$13, 100%, $E$13) + CHOOSE(CONTROL!$C$29, 0.0021, 0)</f>
        <v>45.871200000000002</v>
      </c>
      <c r="E472" s="4">
        <f>219.898306827766 * CHOOSE(CONTROL!$C$10, $C$13, 100%, $E$13) + CHOOSE(CONTROL!$C$29, 0.0021, 0)</f>
        <v>219.90040682776601</v>
      </c>
    </row>
    <row r="473" spans="1:5" ht="15">
      <c r="A473" s="13">
        <v>55549</v>
      </c>
      <c r="B473" s="4">
        <f>33.0062 * CHOOSE(CONTROL!$C$10, $C$13, 100%, $E$13) + CHOOSE(CONTROL!$C$29, 0.0272, 0)</f>
        <v>33.0334</v>
      </c>
      <c r="C473" s="4">
        <f>32.6429 * CHOOSE(CONTROL!$C$10, $C$13, 100%, $E$13) + CHOOSE(CONTROL!$C$29, 0.0272, 0)</f>
        <v>32.670099999999998</v>
      </c>
      <c r="D473" s="4">
        <f>44.002 * CHOOSE(CONTROL!$C$10, $C$13, 100%, $E$13) + CHOOSE(CONTROL!$C$29, 0.0021, 0)</f>
        <v>44.004100000000001</v>
      </c>
      <c r="E473" s="4">
        <f>210.738648811384 * CHOOSE(CONTROL!$C$10, $C$13, 100%, $E$13) + CHOOSE(CONTROL!$C$29, 0.0021, 0)</f>
        <v>210.74074881138401</v>
      </c>
    </row>
    <row r="474" spans="1:5" ht="15">
      <c r="A474" s="13">
        <v>55577</v>
      </c>
      <c r="B474" s="4">
        <f>33.7715 * CHOOSE(CONTROL!$C$10, $C$13, 100%, $E$13) + CHOOSE(CONTROL!$C$29, 0.0272, 0)</f>
        <v>33.798700000000004</v>
      </c>
      <c r="C474" s="4">
        <f>33.4083 * CHOOSE(CONTROL!$C$10, $C$13, 100%, $E$13) + CHOOSE(CONTROL!$C$29, 0.0272, 0)</f>
        <v>33.435499999999998</v>
      </c>
      <c r="D474" s="4">
        <f>45.4897 * CHOOSE(CONTROL!$C$10, $C$13, 100%, $E$13) + CHOOSE(CONTROL!$C$29, 0.0021, 0)</f>
        <v>45.491799999999998</v>
      </c>
      <c r="E474" s="4">
        <f>215.742414836097 * CHOOSE(CONTROL!$C$10, $C$13, 100%, $E$13) + CHOOSE(CONTROL!$C$29, 0.0021, 0)</f>
        <v>215.74451483609701</v>
      </c>
    </row>
    <row r="475" spans="1:5" ht="15">
      <c r="A475" s="13">
        <v>55609</v>
      </c>
      <c r="B475" s="4">
        <f>35.7814 * CHOOSE(CONTROL!$C$10, $C$13, 100%, $E$13) + CHOOSE(CONTROL!$C$29, 0.0272, 0)</f>
        <v>35.808599999999998</v>
      </c>
      <c r="C475" s="4">
        <f>35.4181 * CHOOSE(CONTROL!$C$10, $C$13, 100%, $E$13) + CHOOSE(CONTROL!$C$29, 0.0272, 0)</f>
        <v>35.445300000000003</v>
      </c>
      <c r="D475" s="4">
        <f>47.8185 * CHOOSE(CONTROL!$C$10, $C$13, 100%, $E$13) + CHOOSE(CONTROL!$C$29, 0.0021, 0)</f>
        <v>47.820599999999999</v>
      </c>
      <c r="E475" s="4">
        <f>228.882570333269 * CHOOSE(CONTROL!$C$10, $C$13, 100%, $E$13) + CHOOSE(CONTROL!$C$29, 0.0021, 0)</f>
        <v>228.88467033326901</v>
      </c>
    </row>
    <row r="476" spans="1:5" ht="15">
      <c r="A476" s="13">
        <v>55639</v>
      </c>
      <c r="B476" s="4">
        <f>37.2093 * CHOOSE(CONTROL!$C$10, $C$13, 100%, $E$13) + CHOOSE(CONTROL!$C$29, 0.0272, 0)</f>
        <v>37.236499999999999</v>
      </c>
      <c r="C476" s="4">
        <f>36.8461 * CHOOSE(CONTROL!$C$10, $C$13, 100%, $E$13) + CHOOSE(CONTROL!$C$29, 0.0272, 0)</f>
        <v>36.8733</v>
      </c>
      <c r="D476" s="4">
        <f>49.1599 * CHOOSE(CONTROL!$C$10, $C$13, 100%, $E$13) + CHOOSE(CONTROL!$C$29, 0.0021, 0)</f>
        <v>49.161999999999999</v>
      </c>
      <c r="E476" s="4">
        <f>238.218825929606 * CHOOSE(CONTROL!$C$10, $C$13, 100%, $E$13) + CHOOSE(CONTROL!$C$29, 0.0021, 0)</f>
        <v>238.22092592960601</v>
      </c>
    </row>
    <row r="477" spans="1:5" ht="15">
      <c r="A477" s="13">
        <v>55670</v>
      </c>
      <c r="B477" s="4">
        <f>38.0818 * CHOOSE(CONTROL!$C$10, $C$13, 100%, $E$13) + CHOOSE(CONTROL!$C$29, 0.0272, 0)</f>
        <v>38.109000000000002</v>
      </c>
      <c r="C477" s="4">
        <f>37.7185 * CHOOSE(CONTROL!$C$10, $C$13, 100%, $E$13) + CHOOSE(CONTROL!$C$29, 0.0272, 0)</f>
        <v>37.745699999999999</v>
      </c>
      <c r="D477" s="4">
        <f>48.6299 * CHOOSE(CONTROL!$C$10, $C$13, 100%, $E$13) + CHOOSE(CONTROL!$C$29, 0.0021, 0)</f>
        <v>48.631999999999998</v>
      </c>
      <c r="E477" s="4">
        <f>243.923054340151 * CHOOSE(CONTROL!$C$10, $C$13, 100%, $E$13) + CHOOSE(CONTROL!$C$29, 0.0021, 0)</f>
        <v>243.92515434015101</v>
      </c>
    </row>
    <row r="478" spans="1:5" ht="15">
      <c r="A478" s="13">
        <v>55700</v>
      </c>
      <c r="B478" s="4">
        <f>38.1999 * CHOOSE(CONTROL!$C$10, $C$13, 100%, $E$13) + CHOOSE(CONTROL!$C$29, 0.0272, 0)</f>
        <v>38.2271</v>
      </c>
      <c r="C478" s="4">
        <f>37.8366 * CHOOSE(CONTROL!$C$10, $C$13, 100%, $E$13) + CHOOSE(CONTROL!$C$29, 0.0272, 0)</f>
        <v>37.863799999999998</v>
      </c>
      <c r="D478" s="4">
        <f>49.0616 * CHOOSE(CONTROL!$C$10, $C$13, 100%, $E$13) + CHOOSE(CONTROL!$C$29, 0.0021, 0)</f>
        <v>49.063699999999997</v>
      </c>
      <c r="E478" s="4">
        <f>244.694860117132 * CHOOSE(CONTROL!$C$10, $C$13, 100%, $E$13) + CHOOSE(CONTROL!$C$29, 0.0021, 0)</f>
        <v>244.69696011713202</v>
      </c>
    </row>
    <row r="479" spans="1:5" ht="15">
      <c r="A479" s="13">
        <v>55731</v>
      </c>
      <c r="B479" s="4">
        <f>38.188 * CHOOSE(CONTROL!$C$10, $C$13, 100%, $E$13) + CHOOSE(CONTROL!$C$29, 0.0272, 0)</f>
        <v>38.215200000000003</v>
      </c>
      <c r="C479" s="4">
        <f>37.8247 * CHOOSE(CONTROL!$C$10, $C$13, 100%, $E$13) + CHOOSE(CONTROL!$C$29, 0.0272, 0)</f>
        <v>37.851900000000001</v>
      </c>
      <c r="D479" s="4">
        <f>49.8405 * CHOOSE(CONTROL!$C$10, $C$13, 100%, $E$13) + CHOOSE(CONTROL!$C$29, 0.0021, 0)</f>
        <v>49.842599999999997</v>
      </c>
      <c r="E479" s="4">
        <f>244.61703096315 * CHOOSE(CONTROL!$C$10, $C$13, 100%, $E$13) + CHOOSE(CONTROL!$C$29, 0.0021, 0)</f>
        <v>244.61913096315001</v>
      </c>
    </row>
    <row r="480" spans="1:5" ht="15">
      <c r="A480" s="13">
        <v>55762</v>
      </c>
      <c r="B480" s="4">
        <f>39.0837 * CHOOSE(CONTROL!$C$10, $C$13, 100%, $E$13) + CHOOSE(CONTROL!$C$29, 0.0272, 0)</f>
        <v>39.110900000000001</v>
      </c>
      <c r="C480" s="4">
        <f>38.7205 * CHOOSE(CONTROL!$C$10, $C$13, 100%, $E$13) + CHOOSE(CONTROL!$C$29, 0.0272, 0)</f>
        <v>38.747700000000002</v>
      </c>
      <c r="D480" s="4">
        <f>49.3261 * CHOOSE(CONTROL!$C$10, $C$13, 100%, $E$13) + CHOOSE(CONTROL!$C$29, 0.0021, 0)</f>
        <v>49.328199999999995</v>
      </c>
      <c r="E480" s="4">
        <f>250.473674800241 * CHOOSE(CONTROL!$C$10, $C$13, 100%, $E$13) + CHOOSE(CONTROL!$C$29, 0.0021, 0)</f>
        <v>250.47577480024103</v>
      </c>
    </row>
    <row r="481" spans="1:5" ht="15">
      <c r="A481" s="13">
        <v>55792</v>
      </c>
      <c r="B481" s="4">
        <f>37.557 * CHOOSE(CONTROL!$C$10, $C$13, 100%, $E$13) + CHOOSE(CONTROL!$C$29, 0.0272, 0)</f>
        <v>37.584200000000003</v>
      </c>
      <c r="C481" s="4">
        <f>37.1938 * CHOOSE(CONTROL!$C$10, $C$13, 100%, $E$13) + CHOOSE(CONTROL!$C$29, 0.0272, 0)</f>
        <v>37.221000000000004</v>
      </c>
      <c r="D481" s="4">
        <f>49.083 * CHOOSE(CONTROL!$C$10, $C$13, 100%, $E$13) + CHOOSE(CONTROL!$C$29, 0.0021, 0)</f>
        <v>49.085099999999997</v>
      </c>
      <c r="E481" s="4">
        <f>240.492085802143 * CHOOSE(CONTROL!$C$10, $C$13, 100%, $E$13) + CHOOSE(CONTROL!$C$29, 0.0021, 0)</f>
        <v>240.49418580214302</v>
      </c>
    </row>
    <row r="482" spans="1:5" ht="15">
      <c r="A482" s="13">
        <v>55823</v>
      </c>
      <c r="B482" s="4">
        <f>36.3349 * CHOOSE(CONTROL!$C$10, $C$13, 100%, $E$13) + CHOOSE(CONTROL!$C$29, 0.0272, 0)</f>
        <v>36.362099999999998</v>
      </c>
      <c r="C482" s="4">
        <f>35.9716 * CHOOSE(CONTROL!$C$10, $C$13, 100%, $E$13) + CHOOSE(CONTROL!$C$29, 0.0272, 0)</f>
        <v>35.998800000000003</v>
      </c>
      <c r="D482" s="4">
        <f>48.4322 * CHOOSE(CONTROL!$C$10, $C$13, 100%, $E$13) + CHOOSE(CONTROL!$C$29, 0.0021, 0)</f>
        <v>48.4343</v>
      </c>
      <c r="E482" s="4">
        <f>232.501625993398 * CHOOSE(CONTROL!$C$10, $C$13, 100%, $E$13) + CHOOSE(CONTROL!$C$29, 0.0021, 0)</f>
        <v>232.50372599339801</v>
      </c>
    </row>
    <row r="483" spans="1:5" ht="15">
      <c r="A483" s="13">
        <v>55853</v>
      </c>
      <c r="B483" s="4">
        <f>35.5477 * CHOOSE(CONTROL!$C$10, $C$13, 100%, $E$13) + CHOOSE(CONTROL!$C$29, 0.0272, 0)</f>
        <v>35.5749</v>
      </c>
      <c r="C483" s="4">
        <f>35.1845 * CHOOSE(CONTROL!$C$10, $C$13, 100%, $E$13) + CHOOSE(CONTROL!$C$29, 0.0272, 0)</f>
        <v>35.2117</v>
      </c>
      <c r="D483" s="4">
        <f>48.2085 * CHOOSE(CONTROL!$C$10, $C$13, 100%, $E$13) + CHOOSE(CONTROL!$C$29, 0.0021, 0)</f>
        <v>48.210599999999999</v>
      </c>
      <c r="E483" s="4">
        <f>227.355173186386 * CHOOSE(CONTROL!$C$10, $C$13, 100%, $E$13) + CHOOSE(CONTROL!$C$29, 0.0021, 0)</f>
        <v>227.35727318638601</v>
      </c>
    </row>
    <row r="484" spans="1:5" ht="15">
      <c r="A484" s="13">
        <v>55884</v>
      </c>
      <c r="B484" s="4">
        <f>35.0031 * CHOOSE(CONTROL!$C$10, $C$13, 100%, $E$13) + CHOOSE(CONTROL!$C$29, 0.0272, 0)</f>
        <v>35.030300000000004</v>
      </c>
      <c r="C484" s="4">
        <f>34.6398 * CHOOSE(CONTROL!$C$10, $C$13, 100%, $E$13) + CHOOSE(CONTROL!$C$29, 0.0272, 0)</f>
        <v>34.667000000000002</v>
      </c>
      <c r="D484" s="4">
        <f>46.5613 * CHOOSE(CONTROL!$C$10, $C$13, 100%, $E$13) + CHOOSE(CONTROL!$C$29, 0.0021, 0)</f>
        <v>46.563400000000001</v>
      </c>
      <c r="E484" s="4">
        <f>223.794489391743 * CHOOSE(CONTROL!$C$10, $C$13, 100%, $E$13) + CHOOSE(CONTROL!$C$29, 0.0021, 0)</f>
        <v>223.79658939174303</v>
      </c>
    </row>
    <row r="485" spans="1:5" ht="15">
      <c r="A485" s="13">
        <v>55915</v>
      </c>
      <c r="B485" s="4">
        <f>33.5757 * CHOOSE(CONTROL!$C$10, $C$13, 100%, $E$13) + CHOOSE(CONTROL!$C$29, 0.0272, 0)</f>
        <v>33.602899999999998</v>
      </c>
      <c r="C485" s="4">
        <f>33.2124 * CHOOSE(CONTROL!$C$10, $C$13, 100%, $E$13) + CHOOSE(CONTROL!$C$29, 0.0272, 0)</f>
        <v>33.239600000000003</v>
      </c>
      <c r="D485" s="4">
        <f>44.6648 * CHOOSE(CONTROL!$C$10, $C$13, 100%, $E$13) + CHOOSE(CONTROL!$C$29, 0.0021, 0)</f>
        <v>44.666899999999998</v>
      </c>
      <c r="E485" s="4">
        <f>214.472539539784 * CHOOSE(CONTROL!$C$10, $C$13, 100%, $E$13) + CHOOSE(CONTROL!$C$29, 0.0021, 0)</f>
        <v>214.47463953978402</v>
      </c>
    </row>
    <row r="486" spans="1:5" ht="15">
      <c r="A486" s="13">
        <v>55943</v>
      </c>
      <c r="B486" s="4">
        <f>34.3546 * CHOOSE(CONTROL!$C$10, $C$13, 100%, $E$13) + CHOOSE(CONTROL!$C$29, 0.0272, 0)</f>
        <v>34.381799999999998</v>
      </c>
      <c r="C486" s="4">
        <f>33.9913 * CHOOSE(CONTROL!$C$10, $C$13, 100%, $E$13) + CHOOSE(CONTROL!$C$29, 0.0272, 0)</f>
        <v>34.018500000000003</v>
      </c>
      <c r="D486" s="4">
        <f>46.1759 * CHOOSE(CONTROL!$C$10, $C$13, 100%, $E$13) + CHOOSE(CONTROL!$C$29, 0.0021, 0)</f>
        <v>46.177999999999997</v>
      </c>
      <c r="E486" s="4">
        <f>219.564962845314 * CHOOSE(CONTROL!$C$10, $C$13, 100%, $E$13) + CHOOSE(CONTROL!$C$29, 0.0021, 0)</f>
        <v>219.56706284531401</v>
      </c>
    </row>
    <row r="487" spans="1:5" ht="15">
      <c r="A487" s="13">
        <v>55974</v>
      </c>
      <c r="B487" s="4">
        <f>36.3999 * CHOOSE(CONTROL!$C$10, $C$13, 100%, $E$13) + CHOOSE(CONTROL!$C$29, 0.0272, 0)</f>
        <v>36.427100000000003</v>
      </c>
      <c r="C487" s="4">
        <f>36.0366 * CHOOSE(CONTROL!$C$10, $C$13, 100%, $E$13) + CHOOSE(CONTROL!$C$29, 0.0272, 0)</f>
        <v>36.063800000000001</v>
      </c>
      <c r="D487" s="4">
        <f>48.5413 * CHOOSE(CONTROL!$C$10, $C$13, 100%, $E$13) + CHOOSE(CONTROL!$C$29, 0.0021, 0)</f>
        <v>48.543399999999998</v>
      </c>
      <c r="E487" s="4">
        <f>232.937937073447 * CHOOSE(CONTROL!$C$10, $C$13, 100%, $E$13) + CHOOSE(CONTROL!$C$29, 0.0021, 0)</f>
        <v>232.940037073447</v>
      </c>
    </row>
    <row r="488" spans="1:5" ht="15">
      <c r="A488" s="13">
        <v>56004</v>
      </c>
      <c r="B488" s="4">
        <f>37.8531 * CHOOSE(CONTROL!$C$10, $C$13, 100%, $E$13) + CHOOSE(CONTROL!$C$29, 0.0272, 0)</f>
        <v>37.880299999999998</v>
      </c>
      <c r="C488" s="4">
        <f>37.4898 * CHOOSE(CONTROL!$C$10, $C$13, 100%, $E$13) + CHOOSE(CONTROL!$C$29, 0.0272, 0)</f>
        <v>37.517000000000003</v>
      </c>
      <c r="D488" s="4">
        <f>49.9039 * CHOOSE(CONTROL!$C$10, $C$13, 100%, $E$13) + CHOOSE(CONTROL!$C$29, 0.0021, 0)</f>
        <v>49.905999999999999</v>
      </c>
      <c r="E488" s="4">
        <f>242.439613480849 * CHOOSE(CONTROL!$C$10, $C$13, 100%, $E$13) + CHOOSE(CONTROL!$C$29, 0.0021, 0)</f>
        <v>242.44171348084902</v>
      </c>
    </row>
    <row r="489" spans="1:5" ht="15">
      <c r="A489" s="13">
        <v>56035</v>
      </c>
      <c r="B489" s="4">
        <f>38.741 * CHOOSE(CONTROL!$C$10, $C$13, 100%, $E$13) + CHOOSE(CONTROL!$C$29, 0.0272, 0)</f>
        <v>38.7682</v>
      </c>
      <c r="C489" s="4">
        <f>38.3777 * CHOOSE(CONTROL!$C$10, $C$13, 100%, $E$13) + CHOOSE(CONTROL!$C$29, 0.0272, 0)</f>
        <v>38.404899999999998</v>
      </c>
      <c r="D489" s="4">
        <f>49.3654 * CHOOSE(CONTROL!$C$10, $C$13, 100%, $E$13) + CHOOSE(CONTROL!$C$29, 0.0021, 0)</f>
        <v>49.3675</v>
      </c>
      <c r="E489" s="4">
        <f>248.244910042371 * CHOOSE(CONTROL!$C$10, $C$13, 100%, $E$13) + CHOOSE(CONTROL!$C$29, 0.0021, 0)</f>
        <v>248.24701004237102</v>
      </c>
    </row>
    <row r="490" spans="1:5" ht="15">
      <c r="A490" s="13">
        <v>56065</v>
      </c>
      <c r="B490" s="4">
        <f>38.8611 * CHOOSE(CONTROL!$C$10, $C$13, 100%, $E$13) + CHOOSE(CONTROL!$C$29, 0.0272, 0)</f>
        <v>38.888300000000001</v>
      </c>
      <c r="C490" s="4">
        <f>38.4978 * CHOOSE(CONTROL!$C$10, $C$13, 100%, $E$13) + CHOOSE(CONTROL!$C$29, 0.0272, 0)</f>
        <v>38.524999999999999</v>
      </c>
      <c r="D490" s="4">
        <f>49.8039 * CHOOSE(CONTROL!$C$10, $C$13, 100%, $E$13) + CHOOSE(CONTROL!$C$29, 0.0021, 0)</f>
        <v>49.805999999999997</v>
      </c>
      <c r="E490" s="4">
        <f>249.03039075962 * CHOOSE(CONTROL!$C$10, $C$13, 100%, $E$13) + CHOOSE(CONTROL!$C$29, 0.0021, 0)</f>
        <v>249.03249075962</v>
      </c>
    </row>
    <row r="491" spans="1:5" ht="15">
      <c r="A491" s="13">
        <v>56096</v>
      </c>
      <c r="B491" s="4">
        <f>38.849 * CHOOSE(CONTROL!$C$10, $C$13, 100%, $E$13) + CHOOSE(CONTROL!$C$29, 0.0272, 0)</f>
        <v>38.876199999999997</v>
      </c>
      <c r="C491" s="4">
        <f>38.4857 * CHOOSE(CONTROL!$C$10, $C$13, 100%, $E$13) + CHOOSE(CONTROL!$C$29, 0.0272, 0)</f>
        <v>38.512900000000002</v>
      </c>
      <c r="D491" s="4">
        <f>50.5951 * CHOOSE(CONTROL!$C$10, $C$13, 100%, $E$13) + CHOOSE(CONTROL!$C$29, 0.0021, 0)</f>
        <v>50.597200000000001</v>
      </c>
      <c r="E491" s="4">
        <f>248.951182620066 * CHOOSE(CONTROL!$C$10, $C$13, 100%, $E$13) + CHOOSE(CONTROL!$C$29, 0.0021, 0)</f>
        <v>248.95328262006601</v>
      </c>
    </row>
    <row r="492" spans="1:5" ht="15">
      <c r="A492" s="13">
        <v>56127</v>
      </c>
      <c r="B492" s="4">
        <f>39.7606 * CHOOSE(CONTROL!$C$10, $C$13, 100%, $E$13) + CHOOSE(CONTROL!$C$29, 0.0272, 0)</f>
        <v>39.787799999999997</v>
      </c>
      <c r="C492" s="4">
        <f>39.3973 * CHOOSE(CONTROL!$C$10, $C$13, 100%, $E$13) + CHOOSE(CONTROL!$C$29, 0.0272, 0)</f>
        <v>39.424500000000002</v>
      </c>
      <c r="D492" s="4">
        <f>50.0726 * CHOOSE(CONTROL!$C$10, $C$13, 100%, $E$13) + CHOOSE(CONTROL!$C$29, 0.0021, 0)</f>
        <v>50.0747</v>
      </c>
      <c r="E492" s="4">
        <f>254.911595121548 * CHOOSE(CONTROL!$C$10, $C$13, 100%, $E$13) + CHOOSE(CONTROL!$C$29, 0.0021, 0)</f>
        <v>254.91369512154802</v>
      </c>
    </row>
    <row r="493" spans="1:5" ht="15">
      <c r="A493" s="13">
        <v>56157</v>
      </c>
      <c r="B493" s="4">
        <f>38.2069 * CHOOSE(CONTROL!$C$10, $C$13, 100%, $E$13) + CHOOSE(CONTROL!$C$29, 0.0272, 0)</f>
        <v>38.234099999999998</v>
      </c>
      <c r="C493" s="4">
        <f>37.8437 * CHOOSE(CONTROL!$C$10, $C$13, 100%, $E$13) + CHOOSE(CONTROL!$C$29, 0.0272, 0)</f>
        <v>37.870899999999999</v>
      </c>
      <c r="D493" s="4">
        <f>49.8257 * CHOOSE(CONTROL!$C$10, $C$13, 100%, $E$13) + CHOOSE(CONTROL!$C$29, 0.0021, 0)</f>
        <v>49.827799999999996</v>
      </c>
      <c r="E493" s="4">
        <f>244.753151223673 * CHOOSE(CONTROL!$C$10, $C$13, 100%, $E$13) + CHOOSE(CONTROL!$C$29, 0.0021, 0)</f>
        <v>244.75525122367301</v>
      </c>
    </row>
    <row r="494" spans="1:5" ht="15">
      <c r="A494" s="13">
        <v>56188</v>
      </c>
      <c r="B494" s="4">
        <f>36.9632 * CHOOSE(CONTROL!$C$10, $C$13, 100%, $E$13) + CHOOSE(CONTROL!$C$29, 0.0272, 0)</f>
        <v>36.990400000000001</v>
      </c>
      <c r="C494" s="4">
        <f>36.5999 * CHOOSE(CONTROL!$C$10, $C$13, 100%, $E$13) + CHOOSE(CONTROL!$C$29, 0.0272, 0)</f>
        <v>36.627099999999999</v>
      </c>
      <c r="D494" s="4">
        <f>49.1647 * CHOOSE(CONTROL!$C$10, $C$13, 100%, $E$13) + CHOOSE(CONTROL!$C$29, 0.0021, 0)</f>
        <v>49.166800000000002</v>
      </c>
      <c r="E494" s="4">
        <f>236.621115562735 * CHOOSE(CONTROL!$C$10, $C$13, 100%, $E$13) + CHOOSE(CONTROL!$C$29, 0.0021, 0)</f>
        <v>236.62321556273503</v>
      </c>
    </row>
    <row r="495" spans="1:5" ht="15">
      <c r="A495" s="13">
        <v>56218</v>
      </c>
      <c r="B495" s="4">
        <f>36.1621 * CHOOSE(CONTROL!$C$10, $C$13, 100%, $E$13) + CHOOSE(CONTROL!$C$29, 0.0272, 0)</f>
        <v>36.189300000000003</v>
      </c>
      <c r="C495" s="4">
        <f>35.7989 * CHOOSE(CONTROL!$C$10, $C$13, 100%, $E$13) + CHOOSE(CONTROL!$C$29, 0.0272, 0)</f>
        <v>35.826100000000004</v>
      </c>
      <c r="D495" s="4">
        <f>48.9375 * CHOOSE(CONTROL!$C$10, $C$13, 100%, $E$13) + CHOOSE(CONTROL!$C$29, 0.0021, 0)</f>
        <v>48.939599999999999</v>
      </c>
      <c r="E495" s="4">
        <f>231.383477334688 * CHOOSE(CONTROL!$C$10, $C$13, 100%, $E$13) + CHOOSE(CONTROL!$C$29, 0.0021, 0)</f>
        <v>231.38557733468801</v>
      </c>
    </row>
    <row r="496" spans="1:5" ht="15">
      <c r="A496" s="13">
        <v>56249</v>
      </c>
      <c r="B496" s="4">
        <f>35.6079 * CHOOSE(CONTROL!$C$10, $C$13, 100%, $E$13) + CHOOSE(CONTROL!$C$29, 0.0272, 0)</f>
        <v>35.635100000000001</v>
      </c>
      <c r="C496" s="4">
        <f>35.2446 * CHOOSE(CONTROL!$C$10, $C$13, 100%, $E$13) + CHOOSE(CONTROL!$C$29, 0.0272, 0)</f>
        <v>35.271799999999999</v>
      </c>
      <c r="D496" s="4">
        <f>47.2643 * CHOOSE(CONTROL!$C$10, $C$13, 100%, $E$13) + CHOOSE(CONTROL!$C$29, 0.0021, 0)</f>
        <v>47.266399999999997</v>
      </c>
      <c r="E496" s="4">
        <f>227.759704950066 * CHOOSE(CONTROL!$C$10, $C$13, 100%, $E$13) + CHOOSE(CONTROL!$C$29, 0.0021, 0)</f>
        <v>227.76180495006602</v>
      </c>
    </row>
    <row r="497" spans="1:5" ht="15">
      <c r="A497" s="13">
        <v>56280</v>
      </c>
      <c r="B497" s="4">
        <f>34.1553 * CHOOSE(CONTROL!$C$10, $C$13, 100%, $E$13) + CHOOSE(CONTROL!$C$29, 0.0272, 0)</f>
        <v>34.182499999999997</v>
      </c>
      <c r="C497" s="4">
        <f>33.792 * CHOOSE(CONTROL!$C$10, $C$13, 100%, $E$13) + CHOOSE(CONTROL!$C$29, 0.0272, 0)</f>
        <v>33.819200000000002</v>
      </c>
      <c r="D497" s="4">
        <f>45.3381 * CHOOSE(CONTROL!$C$10, $C$13, 100%, $E$13) + CHOOSE(CONTROL!$C$29, 0.0021, 0)</f>
        <v>45.340199999999996</v>
      </c>
      <c r="E497" s="4">
        <f>218.272587757805 * CHOOSE(CONTROL!$C$10, $C$13, 100%, $E$13) + CHOOSE(CONTROL!$C$29, 0.0021, 0)</f>
        <v>218.27468775780503</v>
      </c>
    </row>
    <row r="498" spans="1:5" ht="15">
      <c r="A498" s="13">
        <v>56308</v>
      </c>
      <c r="B498" s="4">
        <f>34.9479 * CHOOSE(CONTROL!$C$10, $C$13, 100%, $E$13) + CHOOSE(CONTROL!$C$29, 0.0272, 0)</f>
        <v>34.975099999999998</v>
      </c>
      <c r="C498" s="4">
        <f>34.5846 * CHOOSE(CONTROL!$C$10, $C$13, 100%, $E$13) + CHOOSE(CONTROL!$C$29, 0.0272, 0)</f>
        <v>34.611800000000002</v>
      </c>
      <c r="D498" s="4">
        <f>46.8729 * CHOOSE(CONTROL!$C$10, $C$13, 100%, $E$13) + CHOOSE(CONTROL!$C$29, 0.0021, 0)</f>
        <v>46.875</v>
      </c>
      <c r="E498" s="4">
        <f>223.455239183677 * CHOOSE(CONTROL!$C$10, $C$13, 100%, $E$13) + CHOOSE(CONTROL!$C$29, 0.0021, 0)</f>
        <v>223.45733918367702</v>
      </c>
    </row>
    <row r="499" spans="1:5" ht="15">
      <c r="A499" s="13">
        <v>56339</v>
      </c>
      <c r="B499" s="4">
        <f>37.0293 * CHOOSE(CONTROL!$C$10, $C$13, 100%, $E$13) + CHOOSE(CONTROL!$C$29, 0.0272, 0)</f>
        <v>37.0565</v>
      </c>
      <c r="C499" s="4">
        <f>36.6661 * CHOOSE(CONTROL!$C$10, $C$13, 100%, $E$13) + CHOOSE(CONTROL!$C$29, 0.0272, 0)</f>
        <v>36.693300000000001</v>
      </c>
      <c r="D499" s="4">
        <f>49.2755 * CHOOSE(CONTROL!$C$10, $C$13, 100%, $E$13) + CHOOSE(CONTROL!$C$29, 0.0021, 0)</f>
        <v>49.2776</v>
      </c>
      <c r="E499" s="4">
        <f>237.065157250841 * CHOOSE(CONTROL!$C$10, $C$13, 100%, $E$13) + CHOOSE(CONTROL!$C$29, 0.0021, 0)</f>
        <v>237.06725725084101</v>
      </c>
    </row>
    <row r="500" spans="1:5" ht="15">
      <c r="A500" s="13">
        <v>56369</v>
      </c>
      <c r="B500" s="4">
        <f>38.5082 * CHOOSE(CONTROL!$C$10, $C$13, 100%, $E$13) + CHOOSE(CONTROL!$C$29, 0.0272, 0)</f>
        <v>38.535400000000003</v>
      </c>
      <c r="C500" s="4">
        <f>38.145 * CHOOSE(CONTROL!$C$10, $C$13, 100%, $E$13) + CHOOSE(CONTROL!$C$29, 0.0272, 0)</f>
        <v>38.172200000000004</v>
      </c>
      <c r="D500" s="4">
        <f>50.6595 * CHOOSE(CONTROL!$C$10, $C$13, 100%, $E$13) + CHOOSE(CONTROL!$C$29, 0.0021, 0)</f>
        <v>50.6616</v>
      </c>
      <c r="E500" s="4">
        <f>246.735185413567 * CHOOSE(CONTROL!$C$10, $C$13, 100%, $E$13) + CHOOSE(CONTROL!$C$29, 0.0021, 0)</f>
        <v>246.73728541356701</v>
      </c>
    </row>
    <row r="501" spans="1:5" ht="15">
      <c r="A501" s="13">
        <v>56400</v>
      </c>
      <c r="B501" s="4">
        <f>39.4118 * CHOOSE(CONTROL!$C$10, $C$13, 100%, $E$13) + CHOOSE(CONTROL!$C$29, 0.0272, 0)</f>
        <v>39.439</v>
      </c>
      <c r="C501" s="4">
        <f>39.0485 * CHOOSE(CONTROL!$C$10, $C$13, 100%, $E$13) + CHOOSE(CONTROL!$C$29, 0.0272, 0)</f>
        <v>39.075699999999998</v>
      </c>
      <c r="D501" s="4">
        <f>50.1126 * CHOOSE(CONTROL!$C$10, $C$13, 100%, $E$13) + CHOOSE(CONTROL!$C$29, 0.0021, 0)</f>
        <v>50.114699999999999</v>
      </c>
      <c r="E501" s="4">
        <f>252.643340862762 * CHOOSE(CONTROL!$C$10, $C$13, 100%, $E$13) + CHOOSE(CONTROL!$C$29, 0.0021, 0)</f>
        <v>252.645440862762</v>
      </c>
    </row>
    <row r="502" spans="1:5" ht="15">
      <c r="A502" s="13">
        <v>56430</v>
      </c>
      <c r="B502" s="4">
        <f>39.5341 * CHOOSE(CONTROL!$C$10, $C$13, 100%, $E$13) + CHOOSE(CONTROL!$C$29, 0.0272, 0)</f>
        <v>39.561300000000003</v>
      </c>
      <c r="C502" s="4">
        <f>39.1708 * CHOOSE(CONTROL!$C$10, $C$13, 100%, $E$13) + CHOOSE(CONTROL!$C$29, 0.0272, 0)</f>
        <v>39.198</v>
      </c>
      <c r="D502" s="4">
        <f>50.558 * CHOOSE(CONTROL!$C$10, $C$13, 100%, $E$13) + CHOOSE(CONTROL!$C$29, 0.0021, 0)</f>
        <v>50.560099999999998</v>
      </c>
      <c r="E502" s="4">
        <f>253.442738814387 * CHOOSE(CONTROL!$C$10, $C$13, 100%, $E$13) + CHOOSE(CONTROL!$C$29, 0.0021, 0)</f>
        <v>253.44483881438703</v>
      </c>
    </row>
    <row r="503" spans="1:5" ht="15">
      <c r="A503" s="13">
        <v>56461</v>
      </c>
      <c r="B503" s="4">
        <f>39.5217 * CHOOSE(CONTROL!$C$10, $C$13, 100%, $E$13) + CHOOSE(CONTROL!$C$29, 0.0272, 0)</f>
        <v>39.548900000000003</v>
      </c>
      <c r="C503" s="4">
        <f>39.1585 * CHOOSE(CONTROL!$C$10, $C$13, 100%, $E$13) + CHOOSE(CONTROL!$C$29, 0.0272, 0)</f>
        <v>39.185699999999997</v>
      </c>
      <c r="D503" s="4">
        <f>51.3616 * CHOOSE(CONTROL!$C$10, $C$13, 100%, $E$13) + CHOOSE(CONTROL!$C$29, 0.0021, 0)</f>
        <v>51.363700000000001</v>
      </c>
      <c r="E503" s="4">
        <f>253.36212725624 * CHOOSE(CONTROL!$C$10, $C$13, 100%, $E$13) + CHOOSE(CONTROL!$C$29, 0.0021, 0)</f>
        <v>253.36422725624001</v>
      </c>
    </row>
    <row r="504" spans="1:5" ht="15">
      <c r="A504" s="13">
        <v>56492</v>
      </c>
      <c r="B504" s="4">
        <f>40.4495 * CHOOSE(CONTROL!$C$10, $C$13, 100%, $E$13) + CHOOSE(CONTROL!$C$29, 0.0272, 0)</f>
        <v>40.476700000000001</v>
      </c>
      <c r="C504" s="4">
        <f>40.0862 * CHOOSE(CONTROL!$C$10, $C$13, 100%, $E$13) + CHOOSE(CONTROL!$C$29, 0.0272, 0)</f>
        <v>40.113399999999999</v>
      </c>
      <c r="D504" s="4">
        <f>50.8309 * CHOOSE(CONTROL!$C$10, $C$13, 100%, $E$13) + CHOOSE(CONTROL!$C$29, 0.0021, 0)</f>
        <v>50.832999999999998</v>
      </c>
      <c r="E504" s="4">
        <f>259.428147006807 * CHOOSE(CONTROL!$C$10, $C$13, 100%, $E$13) + CHOOSE(CONTROL!$C$29, 0.0021, 0)</f>
        <v>259.43024700680701</v>
      </c>
    </row>
    <row r="505" spans="1:5" ht="15">
      <c r="A505" s="13">
        <v>56522</v>
      </c>
      <c r="B505" s="4">
        <f>38.8683 * CHOOSE(CONTROL!$C$10, $C$13, 100%, $E$13) + CHOOSE(CONTROL!$C$29, 0.0272, 0)</f>
        <v>38.895499999999998</v>
      </c>
      <c r="C505" s="4">
        <f>38.5051 * CHOOSE(CONTROL!$C$10, $C$13, 100%, $E$13) + CHOOSE(CONTROL!$C$29, 0.0272, 0)</f>
        <v>38.532299999999999</v>
      </c>
      <c r="D505" s="4">
        <f>50.5801 * CHOOSE(CONTROL!$C$10, $C$13, 100%, $E$13) + CHOOSE(CONTROL!$C$29, 0.0021, 0)</f>
        <v>50.5822</v>
      </c>
      <c r="E505" s="4">
        <f>249.089714674446 * CHOOSE(CONTROL!$C$10, $C$13, 100%, $E$13) + CHOOSE(CONTROL!$C$29, 0.0021, 0)</f>
        <v>249.091814674446</v>
      </c>
    </row>
    <row r="506" spans="1:5" ht="15">
      <c r="A506" s="13">
        <v>56553</v>
      </c>
      <c r="B506" s="4">
        <f>37.6026 * CHOOSE(CONTROL!$C$10, $C$13, 100%, $E$13) + CHOOSE(CONTROL!$C$29, 0.0272, 0)</f>
        <v>37.629800000000003</v>
      </c>
      <c r="C506" s="4">
        <f>37.2393 * CHOOSE(CONTROL!$C$10, $C$13, 100%, $E$13) + CHOOSE(CONTROL!$C$29, 0.0272, 0)</f>
        <v>37.266500000000001</v>
      </c>
      <c r="D506" s="4">
        <f>49.9087 * CHOOSE(CONTROL!$C$10, $C$13, 100%, $E$13) + CHOOSE(CONTROL!$C$29, 0.0021, 0)</f>
        <v>49.910800000000002</v>
      </c>
      <c r="E506" s="4">
        <f>240.81359470468 * CHOOSE(CONTROL!$C$10, $C$13, 100%, $E$13) + CHOOSE(CONTROL!$C$29, 0.0021, 0)</f>
        <v>240.81569470468003</v>
      </c>
    </row>
    <row r="507" spans="1:5" ht="15">
      <c r="A507" s="13">
        <v>56583</v>
      </c>
      <c r="B507" s="4">
        <f>36.7874 * CHOOSE(CONTROL!$C$10, $C$13, 100%, $E$13) + CHOOSE(CONTROL!$C$29, 0.0272, 0)</f>
        <v>36.814599999999999</v>
      </c>
      <c r="C507" s="4">
        <f>36.4241 * CHOOSE(CONTROL!$C$10, $C$13, 100%, $E$13) + CHOOSE(CONTROL!$C$29, 0.0272, 0)</f>
        <v>36.451300000000003</v>
      </c>
      <c r="D507" s="4">
        <f>49.6779 * CHOOSE(CONTROL!$C$10, $C$13, 100%, $E$13) + CHOOSE(CONTROL!$C$29, 0.0021, 0)</f>
        <v>49.68</v>
      </c>
      <c r="E507" s="4">
        <f>235.483155422205 * CHOOSE(CONTROL!$C$10, $C$13, 100%, $E$13) + CHOOSE(CONTROL!$C$29, 0.0021, 0)</f>
        <v>235.485255422205</v>
      </c>
    </row>
    <row r="508" spans="1:5" ht="15">
      <c r="A508" s="13">
        <v>56614</v>
      </c>
      <c r="B508" s="4">
        <f>36.2234 * CHOOSE(CONTROL!$C$10, $C$13, 100%, $E$13) + CHOOSE(CONTROL!$C$29, 0.0272, 0)</f>
        <v>36.250599999999999</v>
      </c>
      <c r="C508" s="4">
        <f>35.8601 * CHOOSE(CONTROL!$C$10, $C$13, 100%, $E$13) + CHOOSE(CONTROL!$C$29, 0.0272, 0)</f>
        <v>35.887300000000003</v>
      </c>
      <c r="D508" s="4">
        <f>47.9784 * CHOOSE(CONTROL!$C$10, $C$13, 100%, $E$13) + CHOOSE(CONTROL!$C$29, 0.0021, 0)</f>
        <v>47.980499999999999</v>
      </c>
      <c r="E508" s="4">
        <f>231.795176636976 * CHOOSE(CONTROL!$C$10, $C$13, 100%, $E$13) + CHOOSE(CONTROL!$C$29, 0.0021, 0)</f>
        <v>231.79727663697602</v>
      </c>
    </row>
    <row r="509" spans="1:5" ht="15">
      <c r="A509" s="13">
        <v>56645</v>
      </c>
      <c r="B509" s="4">
        <f>34.7451 * CHOOSE(CONTROL!$C$10, $C$13, 100%, $E$13) + CHOOSE(CONTROL!$C$29, 0.0272, 0)</f>
        <v>34.772300000000001</v>
      </c>
      <c r="C509" s="4">
        <f>34.3818 * CHOOSE(CONTROL!$C$10, $C$13, 100%, $E$13) + CHOOSE(CONTROL!$C$29, 0.0272, 0)</f>
        <v>34.408999999999999</v>
      </c>
      <c r="D509" s="4">
        <f>46.0219 * CHOOSE(CONTROL!$C$10, $C$13, 100%, $E$13) + CHOOSE(CONTROL!$C$29, 0.0021, 0)</f>
        <v>46.024000000000001</v>
      </c>
      <c r="E509" s="4">
        <f>222.13996565118 * CHOOSE(CONTROL!$C$10, $C$13, 100%, $E$13) + CHOOSE(CONTROL!$C$29, 0.0021, 0)</f>
        <v>222.14206565118002</v>
      </c>
    </row>
    <row r="510" spans="1:5" ht="15">
      <c r="A510" s="13">
        <v>56673</v>
      </c>
      <c r="B510" s="4">
        <f>35.5517 * CHOOSE(CONTROL!$C$10, $C$13, 100%, $E$13) + CHOOSE(CONTROL!$C$29, 0.0272, 0)</f>
        <v>35.578899999999997</v>
      </c>
      <c r="C510" s="4">
        <f>35.1884 * CHOOSE(CONTROL!$C$10, $C$13, 100%, $E$13) + CHOOSE(CONTROL!$C$29, 0.0272, 0)</f>
        <v>35.215600000000002</v>
      </c>
      <c r="D510" s="4">
        <f>47.5808 * CHOOSE(CONTROL!$C$10, $C$13, 100%, $E$13) + CHOOSE(CONTROL!$C$29, 0.0021, 0)</f>
        <v>47.582900000000002</v>
      </c>
      <c r="E510" s="4">
        <f>227.414443869226 * CHOOSE(CONTROL!$C$10, $C$13, 100%, $E$13) + CHOOSE(CONTROL!$C$29, 0.0021, 0)</f>
        <v>227.41654386922602</v>
      </c>
    </row>
    <row r="511" spans="1:5" ht="15">
      <c r="A511" s="13">
        <v>56704</v>
      </c>
      <c r="B511" s="4">
        <f>37.6699 * CHOOSE(CONTROL!$C$10, $C$13, 100%, $E$13) + CHOOSE(CONTROL!$C$29, 0.0272, 0)</f>
        <v>37.697099999999999</v>
      </c>
      <c r="C511" s="4">
        <f>37.3066 * CHOOSE(CONTROL!$C$10, $C$13, 100%, $E$13) + CHOOSE(CONTROL!$C$29, 0.0272, 0)</f>
        <v>37.333800000000004</v>
      </c>
      <c r="D511" s="4">
        <f>50.0212 * CHOOSE(CONTROL!$C$10, $C$13, 100%, $E$13) + CHOOSE(CONTROL!$C$29, 0.0021, 0)</f>
        <v>50.023299999999999</v>
      </c>
      <c r="E511" s="4">
        <f>241.265503972613 * CHOOSE(CONTROL!$C$10, $C$13, 100%, $E$13) + CHOOSE(CONTROL!$C$29, 0.0021, 0)</f>
        <v>241.26760397261302</v>
      </c>
    </row>
    <row r="512" spans="1:5" ht="15">
      <c r="A512" s="13">
        <v>56734</v>
      </c>
      <c r="B512" s="4">
        <f>39.1749 * CHOOSE(CONTROL!$C$10, $C$13, 100%, $E$13) + CHOOSE(CONTROL!$C$29, 0.0272, 0)</f>
        <v>39.202100000000002</v>
      </c>
      <c r="C512" s="4">
        <f>38.8117 * CHOOSE(CONTROL!$C$10, $C$13, 100%, $E$13) + CHOOSE(CONTROL!$C$29, 0.0272, 0)</f>
        <v>38.838900000000002</v>
      </c>
      <c r="D512" s="4">
        <f>51.427 * CHOOSE(CONTROL!$C$10, $C$13, 100%, $E$13) + CHOOSE(CONTROL!$C$29, 0.0021, 0)</f>
        <v>51.429099999999998</v>
      </c>
      <c r="E512" s="4">
        <f>251.106866765715 * CHOOSE(CONTROL!$C$10, $C$13, 100%, $E$13) + CHOOSE(CONTROL!$C$29, 0.0021, 0)</f>
        <v>251.10896676571502</v>
      </c>
    </row>
    <row r="513" spans="1:5" ht="15">
      <c r="A513" s="13">
        <v>56765</v>
      </c>
      <c r="B513" s="4">
        <f>40.0945 * CHOOSE(CONTROL!$C$10, $C$13, 100%, $E$13) + CHOOSE(CONTROL!$C$29, 0.0272, 0)</f>
        <v>40.121699999999997</v>
      </c>
      <c r="C513" s="4">
        <f>39.7312 * CHOOSE(CONTROL!$C$10, $C$13, 100%, $E$13) + CHOOSE(CONTROL!$C$29, 0.0272, 0)</f>
        <v>39.758400000000002</v>
      </c>
      <c r="D513" s="4">
        <f>50.8715 * CHOOSE(CONTROL!$C$10, $C$13, 100%, $E$13) + CHOOSE(CONTROL!$C$29, 0.0021, 0)</f>
        <v>50.873599999999996</v>
      </c>
      <c r="E513" s="4">
        <f>257.119703567753 * CHOOSE(CONTROL!$C$10, $C$13, 100%, $E$13) + CHOOSE(CONTROL!$C$29, 0.0021, 0)</f>
        <v>257.12180356775298</v>
      </c>
    </row>
    <row r="514" spans="1:5" ht="15">
      <c r="A514" s="13">
        <v>56795</v>
      </c>
      <c r="B514" s="4">
        <f>40.2189 * CHOOSE(CONTROL!$C$10, $C$13, 100%, $E$13) + CHOOSE(CONTROL!$C$29, 0.0272, 0)</f>
        <v>40.246099999999998</v>
      </c>
      <c r="C514" s="4">
        <f>39.8556 * CHOOSE(CONTROL!$C$10, $C$13, 100%, $E$13) + CHOOSE(CONTROL!$C$29, 0.0272, 0)</f>
        <v>39.882800000000003</v>
      </c>
      <c r="D514" s="4">
        <f>51.3239 * CHOOSE(CONTROL!$C$10, $C$13, 100%, $E$13) + CHOOSE(CONTROL!$C$29, 0.0021, 0)</f>
        <v>51.326000000000001</v>
      </c>
      <c r="E514" s="4">
        <f>257.933265340854 * CHOOSE(CONTROL!$C$10, $C$13, 100%, $E$13) + CHOOSE(CONTROL!$C$29, 0.0021, 0)</f>
        <v>257.93536534085399</v>
      </c>
    </row>
    <row r="515" spans="1:5" ht="15">
      <c r="A515" s="13">
        <v>56826</v>
      </c>
      <c r="B515" s="4">
        <f>40.2064 * CHOOSE(CONTROL!$C$10, $C$13, 100%, $E$13) + CHOOSE(CONTROL!$C$29, 0.0272, 0)</f>
        <v>40.233600000000003</v>
      </c>
      <c r="C515" s="4">
        <f>39.8431 * CHOOSE(CONTROL!$C$10, $C$13, 100%, $E$13) + CHOOSE(CONTROL!$C$29, 0.0272, 0)</f>
        <v>39.8703</v>
      </c>
      <c r="D515" s="4">
        <f>52.1402 * CHOOSE(CONTROL!$C$10, $C$13, 100%, $E$13) + CHOOSE(CONTROL!$C$29, 0.0021, 0)</f>
        <v>52.142299999999999</v>
      </c>
      <c r="E515" s="4">
        <f>257.851225498189 * CHOOSE(CONTROL!$C$10, $C$13, 100%, $E$13) + CHOOSE(CONTROL!$C$29, 0.0021, 0)</f>
        <v>257.85332549818901</v>
      </c>
    </row>
    <row r="516" spans="1:5" ht="15">
      <c r="A516" s="13">
        <v>56857</v>
      </c>
      <c r="B516" s="4">
        <f>41.1505 * CHOOSE(CONTROL!$C$10, $C$13, 100%, $E$13) + CHOOSE(CONTROL!$C$29, 0.0272, 0)</f>
        <v>41.177700000000002</v>
      </c>
      <c r="C516" s="4">
        <f>40.7872 * CHOOSE(CONTROL!$C$10, $C$13, 100%, $E$13) + CHOOSE(CONTROL!$C$29, 0.0272, 0)</f>
        <v>40.814399999999999</v>
      </c>
      <c r="D516" s="4">
        <f>51.6011 * CHOOSE(CONTROL!$C$10, $C$13, 100%, $E$13) + CHOOSE(CONTROL!$C$29, 0.0021, 0)</f>
        <v>51.603200000000001</v>
      </c>
      <c r="E516" s="4">
        <f>264.02472365878 * CHOOSE(CONTROL!$C$10, $C$13, 100%, $E$13) + CHOOSE(CONTROL!$C$29, 0.0021, 0)</f>
        <v>264.02682365877996</v>
      </c>
    </row>
    <row r="517" spans="1:5" ht="15">
      <c r="A517" s="13">
        <v>56887</v>
      </c>
      <c r="B517" s="4">
        <f>39.5414 * CHOOSE(CONTROL!$C$10, $C$13, 100%, $E$13) + CHOOSE(CONTROL!$C$29, 0.0272, 0)</f>
        <v>39.568600000000004</v>
      </c>
      <c r="C517" s="4">
        <f>39.1781 * CHOOSE(CONTROL!$C$10, $C$13, 100%, $E$13) + CHOOSE(CONTROL!$C$29, 0.0272, 0)</f>
        <v>39.205300000000001</v>
      </c>
      <c r="D517" s="4">
        <f>51.3464 * CHOOSE(CONTROL!$C$10, $C$13, 100%, $E$13) + CHOOSE(CONTROL!$C$29, 0.0021, 0)</f>
        <v>51.348500000000001</v>
      </c>
      <c r="E517" s="4">
        <f>253.503113836908 * CHOOSE(CONTROL!$C$10, $C$13, 100%, $E$13) + CHOOSE(CONTROL!$C$29, 0.0021, 0)</f>
        <v>253.50521383690801</v>
      </c>
    </row>
    <row r="518" spans="1:5" ht="15">
      <c r="A518" s="13">
        <v>56918</v>
      </c>
      <c r="B518" s="4">
        <f>38.2533 * CHOOSE(CONTROL!$C$10, $C$13, 100%, $E$13) + CHOOSE(CONTROL!$C$29, 0.0272, 0)</f>
        <v>38.280500000000004</v>
      </c>
      <c r="C518" s="4">
        <f>37.89 * CHOOSE(CONTROL!$C$10, $C$13, 100%, $E$13) + CHOOSE(CONTROL!$C$29, 0.0272, 0)</f>
        <v>37.917200000000001</v>
      </c>
      <c r="D518" s="4">
        <f>50.6644 * CHOOSE(CONTROL!$C$10, $C$13, 100%, $E$13) + CHOOSE(CONTROL!$C$29, 0.0021, 0)</f>
        <v>50.666499999999999</v>
      </c>
      <c r="E518" s="4">
        <f>245.080356656567 * CHOOSE(CONTROL!$C$10, $C$13, 100%, $E$13) + CHOOSE(CONTROL!$C$29, 0.0021, 0)</f>
        <v>245.08245665656702</v>
      </c>
    </row>
    <row r="519" spans="1:5" ht="15">
      <c r="A519" s="13">
        <v>56948</v>
      </c>
      <c r="B519" s="4">
        <f>37.4237 * CHOOSE(CONTROL!$C$10, $C$13, 100%, $E$13) + CHOOSE(CONTROL!$C$29, 0.0272, 0)</f>
        <v>37.450899999999997</v>
      </c>
      <c r="C519" s="4">
        <f>37.0604 * CHOOSE(CONTROL!$C$10, $C$13, 100%, $E$13) + CHOOSE(CONTROL!$C$29, 0.0272, 0)</f>
        <v>37.087600000000002</v>
      </c>
      <c r="D519" s="4">
        <f>50.4299 * CHOOSE(CONTROL!$C$10, $C$13, 100%, $E$13) + CHOOSE(CONTROL!$C$29, 0.0021, 0)</f>
        <v>50.432000000000002</v>
      </c>
      <c r="E519" s="4">
        <f>239.655472060299 * CHOOSE(CONTROL!$C$10, $C$13, 100%, $E$13) + CHOOSE(CONTROL!$C$29, 0.0021, 0)</f>
        <v>239.657572060299</v>
      </c>
    </row>
    <row r="520" spans="1:5" ht="15">
      <c r="A520" s="13">
        <v>56979</v>
      </c>
      <c r="B520" s="4">
        <f>36.8497 * CHOOSE(CONTROL!$C$10, $C$13, 100%, $E$13) + CHOOSE(CONTROL!$C$29, 0.0272, 0)</f>
        <v>36.876899999999999</v>
      </c>
      <c r="C520" s="4">
        <f>36.4864 * CHOOSE(CONTROL!$C$10, $C$13, 100%, $E$13) + CHOOSE(CONTROL!$C$29, 0.0272, 0)</f>
        <v>36.513600000000004</v>
      </c>
      <c r="D520" s="4">
        <f>48.7038 * CHOOSE(CONTROL!$C$10, $C$13, 100%, $E$13) + CHOOSE(CONTROL!$C$29, 0.0021, 0)</f>
        <v>48.7059</v>
      </c>
      <c r="E520" s="4">
        <f>235.902149258345 * CHOOSE(CONTROL!$C$10, $C$13, 100%, $E$13) + CHOOSE(CONTROL!$C$29, 0.0021, 0)</f>
        <v>235.904249258345</v>
      </c>
    </row>
    <row r="521" spans="1:5" ht="15">
      <c r="A521" s="13">
        <v>57010</v>
      </c>
      <c r="B521" s="4">
        <f>35.3453 * CHOOSE(CONTROL!$C$10, $C$13, 100%, $E$13) + CHOOSE(CONTROL!$C$29, 0.0272, 0)</f>
        <v>35.372500000000002</v>
      </c>
      <c r="C521" s="4">
        <f>34.982 * CHOOSE(CONTROL!$C$10, $C$13, 100%, $E$13) + CHOOSE(CONTROL!$C$29, 0.0272, 0)</f>
        <v>35.0092</v>
      </c>
      <c r="D521" s="4">
        <f>46.7165 * CHOOSE(CONTROL!$C$10, $C$13, 100%, $E$13) + CHOOSE(CONTROL!$C$29, 0.0021, 0)</f>
        <v>46.718600000000002</v>
      </c>
      <c r="E521" s="4">
        <f>226.075866174554 * CHOOSE(CONTROL!$C$10, $C$13, 100%, $E$13) + CHOOSE(CONTROL!$C$29, 0.0021, 0)</f>
        <v>226.07796617455401</v>
      </c>
    </row>
    <row r="522" spans="1:5" ht="15">
      <c r="A522" s="13">
        <v>57038</v>
      </c>
      <c r="B522" s="4">
        <f>36.1662 * CHOOSE(CONTROL!$C$10, $C$13, 100%, $E$13) + CHOOSE(CONTROL!$C$29, 0.0272, 0)</f>
        <v>36.193400000000004</v>
      </c>
      <c r="C522" s="4">
        <f>35.8029 * CHOOSE(CONTROL!$C$10, $C$13, 100%, $E$13) + CHOOSE(CONTROL!$C$29, 0.0272, 0)</f>
        <v>35.830100000000002</v>
      </c>
      <c r="D522" s="4">
        <f>48.2999 * CHOOSE(CONTROL!$C$10, $C$13, 100%, $E$13) + CHOOSE(CONTROL!$C$29, 0.0021, 0)</f>
        <v>48.302</v>
      </c>
      <c r="E522" s="4">
        <f>231.443798182054 * CHOOSE(CONTROL!$C$10, $C$13, 100%, $E$13) + CHOOSE(CONTROL!$C$29, 0.0021, 0)</f>
        <v>231.44589818205401</v>
      </c>
    </row>
    <row r="523" spans="1:5" ht="15">
      <c r="A523" s="13">
        <v>57070</v>
      </c>
      <c r="B523" s="4">
        <f>38.3218 * CHOOSE(CONTROL!$C$10, $C$13, 100%, $E$13) + CHOOSE(CONTROL!$C$29, 0.0272, 0)</f>
        <v>38.349000000000004</v>
      </c>
      <c r="C523" s="4">
        <f>37.9585 * CHOOSE(CONTROL!$C$10, $C$13, 100%, $E$13) + CHOOSE(CONTROL!$C$29, 0.0272, 0)</f>
        <v>37.985700000000001</v>
      </c>
      <c r="D523" s="4">
        <f>50.7787 * CHOOSE(CONTROL!$C$10, $C$13, 100%, $E$13) + CHOOSE(CONTROL!$C$29, 0.0021, 0)</f>
        <v>50.780799999999999</v>
      </c>
      <c r="E523" s="4">
        <f>245.540272902978 * CHOOSE(CONTROL!$C$10, $C$13, 100%, $E$13) + CHOOSE(CONTROL!$C$29, 0.0021, 0)</f>
        <v>245.542372902978</v>
      </c>
    </row>
    <row r="524" spans="1:5" ht="15">
      <c r="A524" s="13">
        <v>57100</v>
      </c>
      <c r="B524" s="4">
        <f>39.8534 * CHOOSE(CONTROL!$C$10, $C$13, 100%, $E$13) + CHOOSE(CONTROL!$C$29, 0.0272, 0)</f>
        <v>39.880600000000001</v>
      </c>
      <c r="C524" s="4">
        <f>39.4902 * CHOOSE(CONTROL!$C$10, $C$13, 100%, $E$13) + CHOOSE(CONTROL!$C$29, 0.0272, 0)</f>
        <v>39.517400000000002</v>
      </c>
      <c r="D524" s="4">
        <f>52.2065 * CHOOSE(CONTROL!$C$10, $C$13, 100%, $E$13) + CHOOSE(CONTROL!$C$29, 0.0021, 0)</f>
        <v>52.208599999999997</v>
      </c>
      <c r="E524" s="4">
        <f>255.556006052421 * CHOOSE(CONTROL!$C$10, $C$13, 100%, $E$13) + CHOOSE(CONTROL!$C$29, 0.0021, 0)</f>
        <v>255.55810605242101</v>
      </c>
    </row>
    <row r="525" spans="1:5" ht="15">
      <c r="A525" s="13">
        <v>57131</v>
      </c>
      <c r="B525" s="4">
        <f>40.7892 * CHOOSE(CONTROL!$C$10, $C$13, 100%, $E$13) + CHOOSE(CONTROL!$C$29, 0.0272, 0)</f>
        <v>40.816400000000002</v>
      </c>
      <c r="C525" s="4">
        <f>40.4259 * CHOOSE(CONTROL!$C$10, $C$13, 100%, $E$13) + CHOOSE(CONTROL!$C$29, 0.0272, 0)</f>
        <v>40.453099999999999</v>
      </c>
      <c r="D525" s="4">
        <f>51.6423 * CHOOSE(CONTROL!$C$10, $C$13, 100%, $E$13) + CHOOSE(CONTROL!$C$29, 0.0021, 0)</f>
        <v>51.644399999999997</v>
      </c>
      <c r="E525" s="4">
        <f>261.675378963109 * CHOOSE(CONTROL!$C$10, $C$13, 100%, $E$13) + CHOOSE(CONTROL!$C$29, 0.0021, 0)</f>
        <v>261.67747896310897</v>
      </c>
    </row>
    <row r="526" spans="1:5" ht="15">
      <c r="A526" s="13">
        <v>57161</v>
      </c>
      <c r="B526" s="4">
        <f>40.9158 * CHOOSE(CONTROL!$C$10, $C$13, 100%, $E$13) + CHOOSE(CONTROL!$C$29, 0.0272, 0)</f>
        <v>40.942999999999998</v>
      </c>
      <c r="C526" s="4">
        <f>40.5526 * CHOOSE(CONTROL!$C$10, $C$13, 100%, $E$13) + CHOOSE(CONTROL!$C$29, 0.0272, 0)</f>
        <v>40.579799999999999</v>
      </c>
      <c r="D526" s="4">
        <f>52.1018 * CHOOSE(CONTROL!$C$10, $C$13, 100%, $E$13) + CHOOSE(CONTROL!$C$29, 0.0021, 0)</f>
        <v>52.103899999999996</v>
      </c>
      <c r="E526" s="4">
        <f>262.503355513844 * CHOOSE(CONTROL!$C$10, $C$13, 100%, $E$13) + CHOOSE(CONTROL!$C$29, 0.0021, 0)</f>
        <v>262.50545551384397</v>
      </c>
    </row>
    <row r="527" spans="1:5" ht="15">
      <c r="A527" s="13">
        <v>57192</v>
      </c>
      <c r="B527" s="4">
        <f>40.9031 * CHOOSE(CONTROL!$C$10, $C$13, 100%, $E$13) + CHOOSE(CONTROL!$C$29, 0.0272, 0)</f>
        <v>40.930300000000003</v>
      </c>
      <c r="C527" s="4">
        <f>40.5398 * CHOOSE(CONTROL!$C$10, $C$13, 100%, $E$13) + CHOOSE(CONTROL!$C$29, 0.0272, 0)</f>
        <v>40.567</v>
      </c>
      <c r="D527" s="4">
        <f>52.931 * CHOOSE(CONTROL!$C$10, $C$13, 100%, $E$13) + CHOOSE(CONTROL!$C$29, 0.0021, 0)</f>
        <v>52.933099999999996</v>
      </c>
      <c r="E527" s="4">
        <f>262.419862080157 * CHOOSE(CONTROL!$C$10, $C$13, 100%, $E$13) + CHOOSE(CONTROL!$C$29, 0.0021, 0)</f>
        <v>262.42196208015696</v>
      </c>
    </row>
    <row r="528" spans="1:5" ht="15">
      <c r="A528" s="13">
        <v>57223</v>
      </c>
      <c r="B528" s="4">
        <f>41.8639 * CHOOSE(CONTROL!$C$10, $C$13, 100%, $E$13) + CHOOSE(CONTROL!$C$29, 0.0272, 0)</f>
        <v>41.891100000000002</v>
      </c>
      <c r="C528" s="4">
        <f>41.5006 * CHOOSE(CONTROL!$C$10, $C$13, 100%, $E$13) + CHOOSE(CONTROL!$C$29, 0.0272, 0)</f>
        <v>41.527799999999999</v>
      </c>
      <c r="D528" s="4">
        <f>52.3834 * CHOOSE(CONTROL!$C$10, $C$13, 100%, $E$13) + CHOOSE(CONTROL!$C$29, 0.0021, 0)</f>
        <v>52.3855</v>
      </c>
      <c r="E528" s="4">
        <f>268.702742965149 * CHOOSE(CONTROL!$C$10, $C$13, 100%, $E$13) + CHOOSE(CONTROL!$C$29, 0.0021, 0)</f>
        <v>268.704842965149</v>
      </c>
    </row>
    <row r="529" spans="1:5" ht="15">
      <c r="A529" s="13">
        <v>57253</v>
      </c>
      <c r="B529" s="4">
        <f>40.2264 * CHOOSE(CONTROL!$C$10, $C$13, 100%, $E$13) + CHOOSE(CONTROL!$C$29, 0.0272, 0)</f>
        <v>40.253599999999999</v>
      </c>
      <c r="C529" s="4">
        <f>39.8631 * CHOOSE(CONTROL!$C$10, $C$13, 100%, $E$13) + CHOOSE(CONTROL!$C$29, 0.0272, 0)</f>
        <v>39.890300000000003</v>
      </c>
      <c r="D529" s="4">
        <f>52.1247 * CHOOSE(CONTROL!$C$10, $C$13, 100%, $E$13) + CHOOSE(CONTROL!$C$29, 0.0021, 0)</f>
        <v>52.126799999999996</v>
      </c>
      <c r="E529" s="4">
        <f>257.994710094713 * CHOOSE(CONTROL!$C$10, $C$13, 100%, $E$13) + CHOOSE(CONTROL!$C$29, 0.0021, 0)</f>
        <v>257.996810094713</v>
      </c>
    </row>
    <row r="530" spans="1:5" ht="15">
      <c r="A530" s="13">
        <v>57284</v>
      </c>
      <c r="B530" s="4">
        <f>38.9155 * CHOOSE(CONTROL!$C$10, $C$13, 100%, $E$13) + CHOOSE(CONTROL!$C$29, 0.0272, 0)</f>
        <v>38.942700000000002</v>
      </c>
      <c r="C530" s="4">
        <f>38.5522 * CHOOSE(CONTROL!$C$10, $C$13, 100%, $E$13) + CHOOSE(CONTROL!$C$29, 0.0272, 0)</f>
        <v>38.5794</v>
      </c>
      <c r="D530" s="4">
        <f>51.432 * CHOOSE(CONTROL!$C$10, $C$13, 100%, $E$13) + CHOOSE(CONTROL!$C$29, 0.0021, 0)</f>
        <v>51.434100000000001</v>
      </c>
      <c r="E530" s="4">
        <f>249.422717569452 * CHOOSE(CONTROL!$C$10, $C$13, 100%, $E$13) + CHOOSE(CONTROL!$C$29, 0.0021, 0)</f>
        <v>249.42481756945202</v>
      </c>
    </row>
    <row r="531" spans="1:5" ht="15">
      <c r="A531" s="13">
        <v>57314</v>
      </c>
      <c r="B531" s="4">
        <f>38.0712 * CHOOSE(CONTROL!$C$10, $C$13, 100%, $E$13) + CHOOSE(CONTROL!$C$29, 0.0272, 0)</f>
        <v>38.098399999999998</v>
      </c>
      <c r="C531" s="4">
        <f>37.708 * CHOOSE(CONTROL!$C$10, $C$13, 100%, $E$13) + CHOOSE(CONTROL!$C$29, 0.0272, 0)</f>
        <v>37.735199999999999</v>
      </c>
      <c r="D531" s="4">
        <f>51.1938 * CHOOSE(CONTROL!$C$10, $C$13, 100%, $E$13) + CHOOSE(CONTROL!$C$29, 0.0021, 0)</f>
        <v>51.195900000000002</v>
      </c>
      <c r="E531" s="4">
        <f>243.901714266859 * CHOOSE(CONTROL!$C$10, $C$13, 100%, $E$13) + CHOOSE(CONTROL!$C$29, 0.0021, 0)</f>
        <v>243.903814266859</v>
      </c>
    </row>
    <row r="532" spans="1:5" ht="15">
      <c r="A532" s="13">
        <v>57345</v>
      </c>
      <c r="B532" s="4">
        <f>37.4871 * CHOOSE(CONTROL!$C$10, $C$13, 100%, $E$13) + CHOOSE(CONTROL!$C$29, 0.0272, 0)</f>
        <v>37.514299999999999</v>
      </c>
      <c r="C532" s="4">
        <f>37.1238 * CHOOSE(CONTROL!$C$10, $C$13, 100%, $E$13) + CHOOSE(CONTROL!$C$29, 0.0272, 0)</f>
        <v>37.151000000000003</v>
      </c>
      <c r="D532" s="4">
        <f>49.4405 * CHOOSE(CONTROL!$C$10, $C$13, 100%, $E$13) + CHOOSE(CONTROL!$C$29, 0.0021, 0)</f>
        <v>49.442599999999999</v>
      </c>
      <c r="E532" s="4">
        <f>240.081889675651 * CHOOSE(CONTROL!$C$10, $C$13, 100%, $E$13) + CHOOSE(CONTROL!$C$29, 0.0021, 0)</f>
        <v>240.08398967565103</v>
      </c>
    </row>
    <row r="533" spans="1:5" ht="15">
      <c r="A533" s="13">
        <v>57376</v>
      </c>
      <c r="B533" s="4">
        <f>35.9561 * CHOOSE(CONTROL!$C$10, $C$13, 100%, $E$13) + CHOOSE(CONTROL!$C$29, 0.0272, 0)</f>
        <v>35.9833</v>
      </c>
      <c r="C533" s="4">
        <f>35.5928 * CHOOSE(CONTROL!$C$10, $C$13, 100%, $E$13) + CHOOSE(CONTROL!$C$29, 0.0272, 0)</f>
        <v>35.619999999999997</v>
      </c>
      <c r="D533" s="4">
        <f>47.422 * CHOOSE(CONTROL!$C$10, $C$13, 100%, $E$13) + CHOOSE(CONTROL!$C$29, 0.0021, 0)</f>
        <v>47.424099999999996</v>
      </c>
      <c r="E533" s="4">
        <f>230.08150341948 * CHOOSE(CONTROL!$C$10, $C$13, 100%, $E$13) + CHOOSE(CONTROL!$C$29, 0.0021, 0)</f>
        <v>230.08360341948</v>
      </c>
    </row>
    <row r="534" spans="1:5" ht="15">
      <c r="A534" s="13">
        <v>57404</v>
      </c>
      <c r="B534" s="4">
        <f>36.7915 * CHOOSE(CONTROL!$C$10, $C$13, 100%, $E$13) + CHOOSE(CONTROL!$C$29, 0.0272, 0)</f>
        <v>36.8187</v>
      </c>
      <c r="C534" s="4">
        <f>36.4282 * CHOOSE(CONTROL!$C$10, $C$13, 100%, $E$13) + CHOOSE(CONTROL!$C$29, 0.0272, 0)</f>
        <v>36.455399999999997</v>
      </c>
      <c r="D534" s="4">
        <f>49.0303 * CHOOSE(CONTROL!$C$10, $C$13, 100%, $E$13) + CHOOSE(CONTROL!$C$29, 0.0021, 0)</f>
        <v>49.032399999999996</v>
      </c>
      <c r="E534" s="4">
        <f>235.544545041027 * CHOOSE(CONTROL!$C$10, $C$13, 100%, $E$13) + CHOOSE(CONTROL!$C$29, 0.0021, 0)</f>
        <v>235.54664504102701</v>
      </c>
    </row>
    <row r="535" spans="1:5" ht="15">
      <c r="A535" s="13">
        <v>57435</v>
      </c>
      <c r="B535" s="4">
        <f>38.9852 * CHOOSE(CONTROL!$C$10, $C$13, 100%, $E$13) + CHOOSE(CONTROL!$C$29, 0.0272, 0)</f>
        <v>39.0124</v>
      </c>
      <c r="C535" s="4">
        <f>38.6219 * CHOOSE(CONTROL!$C$10, $C$13, 100%, $E$13) + CHOOSE(CONTROL!$C$29, 0.0272, 0)</f>
        <v>38.649099999999997</v>
      </c>
      <c r="D535" s="4">
        <f>51.5481 * CHOOSE(CONTROL!$C$10, $C$13, 100%, $E$13) + CHOOSE(CONTROL!$C$29, 0.0021, 0)</f>
        <v>51.550199999999997</v>
      </c>
      <c r="E535" s="4">
        <f>249.890782662874 * CHOOSE(CONTROL!$C$10, $C$13, 100%, $E$13) + CHOOSE(CONTROL!$C$29, 0.0021, 0)</f>
        <v>249.892882662874</v>
      </c>
    </row>
    <row r="536" spans="1:5" ht="15">
      <c r="A536" s="13">
        <v>57465</v>
      </c>
      <c r="B536" s="4">
        <f>40.5439 * CHOOSE(CONTROL!$C$10, $C$13, 100%, $E$13) + CHOOSE(CONTROL!$C$29, 0.0272, 0)</f>
        <v>40.571100000000001</v>
      </c>
      <c r="C536" s="4">
        <f>40.1806 * CHOOSE(CONTROL!$C$10, $C$13, 100%, $E$13) + CHOOSE(CONTROL!$C$29, 0.0272, 0)</f>
        <v>40.207799999999999</v>
      </c>
      <c r="D536" s="4">
        <f>52.9984 * CHOOSE(CONTROL!$C$10, $C$13, 100%, $E$13) + CHOOSE(CONTROL!$C$29, 0.0021, 0)</f>
        <v>53.000499999999995</v>
      </c>
      <c r="E536" s="4">
        <f>260.083975681951 * CHOOSE(CONTROL!$C$10, $C$13, 100%, $E$13) + CHOOSE(CONTROL!$C$29, 0.0021, 0)</f>
        <v>260.086075681951</v>
      </c>
    </row>
    <row r="537" spans="1:5" ht="15">
      <c r="A537" s="13">
        <v>57496</v>
      </c>
      <c r="B537" s="4">
        <f>41.4962 * CHOOSE(CONTROL!$C$10, $C$13, 100%, $E$13) + CHOOSE(CONTROL!$C$29, 0.0272, 0)</f>
        <v>41.523400000000002</v>
      </c>
      <c r="C537" s="4">
        <f>41.1329 * CHOOSE(CONTROL!$C$10, $C$13, 100%, $E$13) + CHOOSE(CONTROL!$C$29, 0.0272, 0)</f>
        <v>41.1601</v>
      </c>
      <c r="D537" s="4">
        <f>52.4253 * CHOOSE(CONTROL!$C$10, $C$13, 100%, $E$13) + CHOOSE(CONTROL!$C$29, 0.0021, 0)</f>
        <v>52.427399999999999</v>
      </c>
      <c r="E537" s="4">
        <f>266.311772319865 * CHOOSE(CONTROL!$C$10, $C$13, 100%, $E$13) + CHOOSE(CONTROL!$C$29, 0.0021, 0)</f>
        <v>266.31387231986497</v>
      </c>
    </row>
    <row r="538" spans="1:5" ht="15">
      <c r="A538" s="13">
        <v>57526</v>
      </c>
      <c r="B538" s="4">
        <f>41.6251 * CHOOSE(CONTROL!$C$10, $C$13, 100%, $E$13) + CHOOSE(CONTROL!$C$29, 0.0272, 0)</f>
        <v>41.652300000000004</v>
      </c>
      <c r="C538" s="4">
        <f>41.2618 * CHOOSE(CONTROL!$C$10, $C$13, 100%, $E$13) + CHOOSE(CONTROL!$C$29, 0.0272, 0)</f>
        <v>41.289000000000001</v>
      </c>
      <c r="D538" s="4">
        <f>52.892 * CHOOSE(CONTROL!$C$10, $C$13, 100%, $E$13) + CHOOSE(CONTROL!$C$29, 0.0021, 0)</f>
        <v>52.894100000000002</v>
      </c>
      <c r="E538" s="4">
        <f>267.154419050862 * CHOOSE(CONTROL!$C$10, $C$13, 100%, $E$13) + CHOOSE(CONTROL!$C$29, 0.0021, 0)</f>
        <v>267.15651905086196</v>
      </c>
    </row>
    <row r="539" spans="1:5" ht="15">
      <c r="A539" s="13">
        <v>57557</v>
      </c>
      <c r="B539" s="4">
        <f>41.6121 * CHOOSE(CONTROL!$C$10, $C$13, 100%, $E$13) + CHOOSE(CONTROL!$C$29, 0.0272, 0)</f>
        <v>41.639299999999999</v>
      </c>
      <c r="C539" s="4">
        <f>41.2488 * CHOOSE(CONTROL!$C$10, $C$13, 100%, $E$13) + CHOOSE(CONTROL!$C$29, 0.0272, 0)</f>
        <v>41.276000000000003</v>
      </c>
      <c r="D539" s="4">
        <f>53.7342 * CHOOSE(CONTROL!$C$10, $C$13, 100%, $E$13) + CHOOSE(CONTROL!$C$29, 0.0021, 0)</f>
        <v>53.7363</v>
      </c>
      <c r="E539" s="4">
        <f>267.069446271266 * CHOOSE(CONTROL!$C$10, $C$13, 100%, $E$13) + CHOOSE(CONTROL!$C$29, 0.0021, 0)</f>
        <v>267.07154627126596</v>
      </c>
    </row>
    <row r="540" spans="1:5" ht="15">
      <c r="A540" s="13">
        <v>57588</v>
      </c>
      <c r="B540" s="4">
        <f>42.5899 * CHOOSE(CONTROL!$C$10, $C$13, 100%, $E$13) + CHOOSE(CONTROL!$C$29, 0.0272, 0)</f>
        <v>42.617100000000001</v>
      </c>
      <c r="C540" s="4">
        <f>42.2266 * CHOOSE(CONTROL!$C$10, $C$13, 100%, $E$13) + CHOOSE(CONTROL!$C$29, 0.0272, 0)</f>
        <v>42.253799999999998</v>
      </c>
      <c r="D540" s="4">
        <f>53.178 * CHOOSE(CONTROL!$C$10, $C$13, 100%, $E$13) + CHOOSE(CONTROL!$C$29, 0.0021, 0)</f>
        <v>53.180099999999996</v>
      </c>
      <c r="E540" s="4">
        <f>273.463647935889 * CHOOSE(CONTROL!$C$10, $C$13, 100%, $E$13) + CHOOSE(CONTROL!$C$29, 0.0021, 0)</f>
        <v>273.465747935889</v>
      </c>
    </row>
    <row r="541" spans="1:5" ht="15">
      <c r="A541" s="13">
        <v>57618</v>
      </c>
      <c r="B541" s="4">
        <f>40.9234 * CHOOSE(CONTROL!$C$10, $C$13, 100%, $E$13) + CHOOSE(CONTROL!$C$29, 0.0272, 0)</f>
        <v>40.950600000000001</v>
      </c>
      <c r="C541" s="4">
        <f>40.5602 * CHOOSE(CONTROL!$C$10, $C$13, 100%, $E$13) + CHOOSE(CONTROL!$C$29, 0.0272, 0)</f>
        <v>40.587400000000002</v>
      </c>
      <c r="D541" s="4">
        <f>52.9152 * CHOOSE(CONTROL!$C$10, $C$13, 100%, $E$13) + CHOOSE(CONTROL!$C$29, 0.0021, 0)</f>
        <v>52.917299999999997</v>
      </c>
      <c r="E541" s="4">
        <f>262.56588895266 * CHOOSE(CONTROL!$C$10, $C$13, 100%, $E$13) + CHOOSE(CONTROL!$C$29, 0.0021, 0)</f>
        <v>262.56798895265996</v>
      </c>
    </row>
    <row r="542" spans="1:5" ht="15">
      <c r="A542" s="13">
        <v>57649</v>
      </c>
      <c r="B542" s="4">
        <f>39.5894 * CHOOSE(CONTROL!$C$10, $C$13, 100%, $E$13) + CHOOSE(CONTROL!$C$29, 0.0272, 0)</f>
        <v>39.616599999999998</v>
      </c>
      <c r="C542" s="4">
        <f>39.2261 * CHOOSE(CONTROL!$C$10, $C$13, 100%, $E$13) + CHOOSE(CONTROL!$C$29, 0.0272, 0)</f>
        <v>39.253300000000003</v>
      </c>
      <c r="D542" s="4">
        <f>52.2116 * CHOOSE(CONTROL!$C$10, $C$13, 100%, $E$13) + CHOOSE(CONTROL!$C$29, 0.0021, 0)</f>
        <v>52.213699999999996</v>
      </c>
      <c r="E542" s="4">
        <f>253.842016914103 * CHOOSE(CONTROL!$C$10, $C$13, 100%, $E$13) + CHOOSE(CONTROL!$C$29, 0.0021, 0)</f>
        <v>253.84411691410301</v>
      </c>
    </row>
    <row r="543" spans="1:5" ht="15">
      <c r="A543" s="13">
        <v>57679</v>
      </c>
      <c r="B543" s="4">
        <f>38.7302 * CHOOSE(CONTROL!$C$10, $C$13, 100%, $E$13) + CHOOSE(CONTROL!$C$29, 0.0272, 0)</f>
        <v>38.757400000000004</v>
      </c>
      <c r="C543" s="4">
        <f>38.367 * CHOOSE(CONTROL!$C$10, $C$13, 100%, $E$13) + CHOOSE(CONTROL!$C$29, 0.0272, 0)</f>
        <v>38.394199999999998</v>
      </c>
      <c r="D543" s="4">
        <f>51.9697 * CHOOSE(CONTROL!$C$10, $C$13, 100%, $E$13) + CHOOSE(CONTROL!$C$29, 0.0021, 0)</f>
        <v>51.971800000000002</v>
      </c>
      <c r="E543" s="4">
        <f>248.223191863296 * CHOOSE(CONTROL!$C$10, $C$13, 100%, $E$13) + CHOOSE(CONTROL!$C$29, 0.0021, 0)</f>
        <v>248.22529186329601</v>
      </c>
    </row>
    <row r="544" spans="1:5" ht="15">
      <c r="A544" s="13">
        <v>57710</v>
      </c>
      <c r="B544" s="4">
        <f>38.1358 * CHOOSE(CONTROL!$C$10, $C$13, 100%, $E$13) + CHOOSE(CONTROL!$C$29, 0.0272, 0)</f>
        <v>38.163000000000004</v>
      </c>
      <c r="C544" s="4">
        <f>37.7725 * CHOOSE(CONTROL!$C$10, $C$13, 100%, $E$13) + CHOOSE(CONTROL!$C$29, 0.0272, 0)</f>
        <v>37.799700000000001</v>
      </c>
      <c r="D544" s="4">
        <f>50.1889 * CHOOSE(CONTROL!$C$10, $C$13, 100%, $E$13) + CHOOSE(CONTROL!$C$29, 0.0021, 0)</f>
        <v>50.190999999999995</v>
      </c>
      <c r="E544" s="4">
        <f>244.335687196764 * CHOOSE(CONTROL!$C$10, $C$13, 100%, $E$13) + CHOOSE(CONTROL!$C$29, 0.0021, 0)</f>
        <v>244.33778719676403</v>
      </c>
    </row>
    <row r="545" spans="1:5" ht="15">
      <c r="A545" s="13">
        <v>57741</v>
      </c>
      <c r="B545" s="4">
        <f>36.5777 * CHOOSE(CONTROL!$C$10, $C$13, 100%, $E$13) + CHOOSE(CONTROL!$C$29, 0.0272, 0)</f>
        <v>36.604900000000001</v>
      </c>
      <c r="C545" s="4">
        <f>36.2145 * CHOOSE(CONTROL!$C$10, $C$13, 100%, $E$13) + CHOOSE(CONTROL!$C$29, 0.0272, 0)</f>
        <v>36.241700000000002</v>
      </c>
      <c r="D545" s="4">
        <f>48.1385 * CHOOSE(CONTROL!$C$10, $C$13, 100%, $E$13) + CHOOSE(CONTROL!$C$29, 0.0021, 0)</f>
        <v>48.140599999999999</v>
      </c>
      <c r="E545" s="4">
        <f>234.158112988915 * CHOOSE(CONTROL!$C$10, $C$13, 100%, $E$13) + CHOOSE(CONTROL!$C$29, 0.0021, 0)</f>
        <v>234.16021298891502</v>
      </c>
    </row>
    <row r="546" spans="1:5" ht="15">
      <c r="A546" s="13">
        <v>57769</v>
      </c>
      <c r="B546" s="4">
        <f>37.4279 * CHOOSE(CONTROL!$C$10, $C$13, 100%, $E$13) + CHOOSE(CONTROL!$C$29, 0.0272, 0)</f>
        <v>37.455100000000002</v>
      </c>
      <c r="C546" s="4">
        <f>37.0646 * CHOOSE(CONTROL!$C$10, $C$13, 100%, $E$13) + CHOOSE(CONTROL!$C$29, 0.0272, 0)</f>
        <v>37.091799999999999</v>
      </c>
      <c r="D546" s="4">
        <f>49.7722 * CHOOSE(CONTROL!$C$10, $C$13, 100%, $E$13) + CHOOSE(CONTROL!$C$29, 0.0021, 0)</f>
        <v>49.774299999999997</v>
      </c>
      <c r="E546" s="4">
        <f>239.71794938719 * CHOOSE(CONTROL!$C$10, $C$13, 100%, $E$13) + CHOOSE(CONTROL!$C$29, 0.0021, 0)</f>
        <v>239.72004938719002</v>
      </c>
    </row>
    <row r="547" spans="1:5" ht="15">
      <c r="A547" s="13">
        <v>57800</v>
      </c>
      <c r="B547" s="4">
        <f>39.6604 * CHOOSE(CONTROL!$C$10, $C$13, 100%, $E$13) + CHOOSE(CONTROL!$C$29, 0.0272, 0)</f>
        <v>39.687600000000003</v>
      </c>
      <c r="C547" s="4">
        <f>39.2971 * CHOOSE(CONTROL!$C$10, $C$13, 100%, $E$13) + CHOOSE(CONTROL!$C$29, 0.0272, 0)</f>
        <v>39.324300000000001</v>
      </c>
      <c r="D547" s="4">
        <f>52.3295 * CHOOSE(CONTROL!$C$10, $C$13, 100%, $E$13) + CHOOSE(CONTROL!$C$29, 0.0021, 0)</f>
        <v>52.331600000000002</v>
      </c>
      <c r="E547" s="4">
        <f>254.31837523671 * CHOOSE(CONTROL!$C$10, $C$13, 100%, $E$13) + CHOOSE(CONTROL!$C$29, 0.0021, 0)</f>
        <v>254.32047523671002</v>
      </c>
    </row>
    <row r="548" spans="1:5" ht="15">
      <c r="A548" s="13">
        <v>57830</v>
      </c>
      <c r="B548" s="4">
        <f>41.2466 * CHOOSE(CONTROL!$C$10, $C$13, 100%, $E$13) + CHOOSE(CONTROL!$C$29, 0.0272, 0)</f>
        <v>41.273800000000001</v>
      </c>
      <c r="C548" s="4">
        <f>40.8833 * CHOOSE(CONTROL!$C$10, $C$13, 100%, $E$13) + CHOOSE(CONTROL!$C$29, 0.0272, 0)</f>
        <v>40.910499999999999</v>
      </c>
      <c r="D548" s="4">
        <f>53.8026 * CHOOSE(CONTROL!$C$10, $C$13, 100%, $E$13) + CHOOSE(CONTROL!$C$29, 0.0021, 0)</f>
        <v>53.804699999999997</v>
      </c>
      <c r="E548" s="4">
        <f>264.692172379052 * CHOOSE(CONTROL!$C$10, $C$13, 100%, $E$13) + CHOOSE(CONTROL!$C$29, 0.0021, 0)</f>
        <v>264.69427237905199</v>
      </c>
    </row>
    <row r="549" spans="1:5" ht="15">
      <c r="A549" s="13">
        <v>57861</v>
      </c>
      <c r="B549" s="4">
        <f>42.2157 * CHOOSE(CONTROL!$C$10, $C$13, 100%, $E$13) + CHOOSE(CONTROL!$C$29, 0.0272, 0)</f>
        <v>42.242899999999999</v>
      </c>
      <c r="C549" s="4">
        <f>41.8525 * CHOOSE(CONTROL!$C$10, $C$13, 100%, $E$13) + CHOOSE(CONTROL!$C$29, 0.0272, 0)</f>
        <v>41.8797</v>
      </c>
      <c r="D549" s="4">
        <f>53.2205 * CHOOSE(CONTROL!$C$10, $C$13, 100%, $E$13) + CHOOSE(CONTROL!$C$29, 0.0021, 0)</f>
        <v>53.2226</v>
      </c>
      <c r="E549" s="4">
        <f>271.030313807805 * CHOOSE(CONTROL!$C$10, $C$13, 100%, $E$13) + CHOOSE(CONTROL!$C$29, 0.0021, 0)</f>
        <v>271.03241380780497</v>
      </c>
    </row>
    <row r="550" spans="1:5" ht="15">
      <c r="A550" s="13">
        <v>57891</v>
      </c>
      <c r="B550" s="4">
        <f>42.3469 * CHOOSE(CONTROL!$C$10, $C$13, 100%, $E$13) + CHOOSE(CONTROL!$C$29, 0.0272, 0)</f>
        <v>42.374099999999999</v>
      </c>
      <c r="C550" s="4">
        <f>41.9836 * CHOOSE(CONTROL!$C$10, $C$13, 100%, $E$13) + CHOOSE(CONTROL!$C$29, 0.0272, 0)</f>
        <v>42.010800000000003</v>
      </c>
      <c r="D550" s="4">
        <f>53.6946 * CHOOSE(CONTROL!$C$10, $C$13, 100%, $E$13) + CHOOSE(CONTROL!$C$29, 0.0021, 0)</f>
        <v>53.6967</v>
      </c>
      <c r="E550" s="4">
        <f>271.887890646942 * CHOOSE(CONTROL!$C$10, $C$13, 100%, $E$13) + CHOOSE(CONTROL!$C$29, 0.0021, 0)</f>
        <v>271.88999064694201</v>
      </c>
    </row>
    <row r="551" spans="1:5" ht="15">
      <c r="A551" s="13">
        <v>57922</v>
      </c>
      <c r="B551" s="4">
        <f>42.3336 * CHOOSE(CONTROL!$C$10, $C$13, 100%, $E$13) + CHOOSE(CONTROL!$C$29, 0.0272, 0)</f>
        <v>42.360799999999998</v>
      </c>
      <c r="C551" s="4">
        <f>41.9704 * CHOOSE(CONTROL!$C$10, $C$13, 100%, $E$13) + CHOOSE(CONTROL!$C$29, 0.0272, 0)</f>
        <v>41.997599999999998</v>
      </c>
      <c r="D551" s="4">
        <f>54.55 * CHOOSE(CONTROL!$C$10, $C$13, 100%, $E$13) + CHOOSE(CONTROL!$C$29, 0.0021, 0)</f>
        <v>54.552099999999996</v>
      </c>
      <c r="E551" s="4">
        <f>271.801412310223 * CHOOSE(CONTROL!$C$10, $C$13, 100%, $E$13) + CHOOSE(CONTROL!$C$29, 0.0021, 0)</f>
        <v>271.80351231022297</v>
      </c>
    </row>
    <row r="552" spans="1:5" ht="15">
      <c r="A552" s="13">
        <v>57953</v>
      </c>
      <c r="B552" s="4">
        <f>43.3287 * CHOOSE(CONTROL!$C$10, $C$13, 100%, $E$13) + CHOOSE(CONTROL!$C$29, 0.0272, 0)</f>
        <v>43.355899999999998</v>
      </c>
      <c r="C552" s="4">
        <f>42.9654 * CHOOSE(CONTROL!$C$10, $C$13, 100%, $E$13) + CHOOSE(CONTROL!$C$29, 0.0272, 0)</f>
        <v>42.992600000000003</v>
      </c>
      <c r="D552" s="4">
        <f>53.9851 * CHOOSE(CONTROL!$C$10, $C$13, 100%, $E$13) + CHOOSE(CONTROL!$C$29, 0.0021, 0)</f>
        <v>53.987200000000001</v>
      </c>
      <c r="E552" s="4">
        <f>278.308907148385 * CHOOSE(CONTROL!$C$10, $C$13, 100%, $E$13) + CHOOSE(CONTROL!$C$29, 0.0021, 0)</f>
        <v>278.31100714838499</v>
      </c>
    </row>
    <row r="553" spans="1:5" ht="15">
      <c r="A553" s="13">
        <v>57983</v>
      </c>
      <c r="B553" s="4">
        <f>41.6328 * CHOOSE(CONTROL!$C$10, $C$13, 100%, $E$13) + CHOOSE(CONTROL!$C$29, 0.0272, 0)</f>
        <v>41.660000000000004</v>
      </c>
      <c r="C553" s="4">
        <f>41.2695 * CHOOSE(CONTROL!$C$10, $C$13, 100%, $E$13) + CHOOSE(CONTROL!$C$29, 0.0272, 0)</f>
        <v>41.296700000000001</v>
      </c>
      <c r="D553" s="4">
        <f>53.7182 * CHOOSE(CONTROL!$C$10, $C$13, 100%, $E$13) + CHOOSE(CONTROL!$C$29, 0.0021, 0)</f>
        <v>53.720300000000002</v>
      </c>
      <c r="E553" s="4">
        <f>267.218060464075 * CHOOSE(CONTROL!$C$10, $C$13, 100%, $E$13) + CHOOSE(CONTROL!$C$29, 0.0021, 0)</f>
        <v>267.22016046407498</v>
      </c>
    </row>
    <row r="554" spans="1:5" ht="15">
      <c r="A554" s="13">
        <v>58014</v>
      </c>
      <c r="B554" s="4">
        <f>40.2752 * CHOOSE(CONTROL!$C$10, $C$13, 100%, $E$13) + CHOOSE(CONTROL!$C$29, 0.0272, 0)</f>
        <v>40.302399999999999</v>
      </c>
      <c r="C554" s="4">
        <f>39.912 * CHOOSE(CONTROL!$C$10, $C$13, 100%, $E$13) + CHOOSE(CONTROL!$C$29, 0.0272, 0)</f>
        <v>39.9392</v>
      </c>
      <c r="D554" s="4">
        <f>53.0035 * CHOOSE(CONTROL!$C$10, $C$13, 100%, $E$13) + CHOOSE(CONTROL!$C$29, 0.0021, 0)</f>
        <v>53.005600000000001</v>
      </c>
      <c r="E554" s="4">
        <f>258.339617894179 * CHOOSE(CONTROL!$C$10, $C$13, 100%, $E$13) + CHOOSE(CONTROL!$C$29, 0.0021, 0)</f>
        <v>258.341717894179</v>
      </c>
    </row>
    <row r="555" spans="1:5" ht="15">
      <c r="A555" s="13">
        <v>58044</v>
      </c>
      <c r="B555" s="4">
        <f>39.4009 * CHOOSE(CONTROL!$C$10, $C$13, 100%, $E$13) + CHOOSE(CONTROL!$C$29, 0.0272, 0)</f>
        <v>39.428100000000001</v>
      </c>
      <c r="C555" s="4">
        <f>39.0376 * CHOOSE(CONTROL!$C$10, $C$13, 100%, $E$13) + CHOOSE(CONTROL!$C$29, 0.0272, 0)</f>
        <v>39.064799999999998</v>
      </c>
      <c r="D555" s="4">
        <f>52.7578 * CHOOSE(CONTROL!$C$10, $C$13, 100%, $E$13) + CHOOSE(CONTROL!$C$29, 0.0021, 0)</f>
        <v>52.759900000000002</v>
      </c>
      <c r="E555" s="4">
        <f>252.621237878585 * CHOOSE(CONTROL!$C$10, $C$13, 100%, $E$13) + CHOOSE(CONTROL!$C$29, 0.0021, 0)</f>
        <v>252.62333787858501</v>
      </c>
    </row>
    <row r="556" spans="1:5" ht="15">
      <c r="A556" s="13">
        <v>58075</v>
      </c>
      <c r="B556" s="4">
        <f>38.7959 * CHOOSE(CONTROL!$C$10, $C$13, 100%, $E$13) + CHOOSE(CONTROL!$C$29, 0.0272, 0)</f>
        <v>38.823100000000004</v>
      </c>
      <c r="C556" s="4">
        <f>38.4326 * CHOOSE(CONTROL!$C$10, $C$13, 100%, $E$13) + CHOOSE(CONTROL!$C$29, 0.0272, 0)</f>
        <v>38.459800000000001</v>
      </c>
      <c r="D556" s="4">
        <f>50.949 * CHOOSE(CONTROL!$C$10, $C$13, 100%, $E$13) + CHOOSE(CONTROL!$C$29, 0.0021, 0)</f>
        <v>50.951099999999997</v>
      </c>
      <c r="E556" s="4">
        <f>248.664853973655 * CHOOSE(CONTROL!$C$10, $C$13, 100%, $E$13) + CHOOSE(CONTROL!$C$29, 0.0021, 0)</f>
        <v>248.66695397365501</v>
      </c>
    </row>
    <row r="557" spans="1:5" ht="15">
      <c r="A557" s="13">
        <v>58106</v>
      </c>
      <c r="B557" s="4">
        <f>37.2103 * CHOOSE(CONTROL!$C$10, $C$13, 100%, $E$13) + CHOOSE(CONTROL!$C$29, 0.0272, 0)</f>
        <v>37.237499999999997</v>
      </c>
      <c r="C557" s="4">
        <f>36.8471 * CHOOSE(CONTROL!$C$10, $C$13, 100%, $E$13) + CHOOSE(CONTROL!$C$29, 0.0272, 0)</f>
        <v>36.874299999999998</v>
      </c>
      <c r="D557" s="4">
        <f>48.8664 * CHOOSE(CONTROL!$C$10, $C$13, 100%, $E$13) + CHOOSE(CONTROL!$C$29, 0.0021, 0)</f>
        <v>48.868499999999997</v>
      </c>
      <c r="E557" s="4">
        <f>238.306952378368 * CHOOSE(CONTROL!$C$10, $C$13, 100%, $E$13) + CHOOSE(CONTROL!$C$29, 0.0021, 0)</f>
        <v>238.30905237836802</v>
      </c>
    </row>
    <row r="558" spans="1:5" ht="15">
      <c r="A558" s="13">
        <v>58134</v>
      </c>
      <c r="B558" s="4">
        <f>38.0755 * CHOOSE(CONTROL!$C$10, $C$13, 100%, $E$13) + CHOOSE(CONTROL!$C$29, 0.0272, 0)</f>
        <v>38.102699999999999</v>
      </c>
      <c r="C558" s="4">
        <f>37.7122 * CHOOSE(CONTROL!$C$10, $C$13, 100%, $E$13) + CHOOSE(CONTROL!$C$29, 0.0272, 0)</f>
        <v>37.739400000000003</v>
      </c>
      <c r="D558" s="4">
        <f>50.5257 * CHOOSE(CONTROL!$C$10, $C$13, 100%, $E$13) + CHOOSE(CONTROL!$C$29, 0.0021, 0)</f>
        <v>50.527799999999999</v>
      </c>
      <c r="E558" s="4">
        <f>243.965298573949 * CHOOSE(CONTROL!$C$10, $C$13, 100%, $E$13) + CHOOSE(CONTROL!$C$29, 0.0021, 0)</f>
        <v>243.96739857394903</v>
      </c>
    </row>
    <row r="559" spans="1:5" ht="15">
      <c r="A559" s="13">
        <v>58165</v>
      </c>
      <c r="B559" s="4">
        <f>40.3474 * CHOOSE(CONTROL!$C$10, $C$13, 100%, $E$13) + CHOOSE(CONTROL!$C$29, 0.0272, 0)</f>
        <v>40.374600000000001</v>
      </c>
      <c r="C559" s="4">
        <f>39.9842 * CHOOSE(CONTROL!$C$10, $C$13, 100%, $E$13) + CHOOSE(CONTROL!$C$29, 0.0272, 0)</f>
        <v>40.011400000000002</v>
      </c>
      <c r="D559" s="4">
        <f>53.1233 * CHOOSE(CONTROL!$C$10, $C$13, 100%, $E$13) + CHOOSE(CONTROL!$C$29, 0.0021, 0)</f>
        <v>53.125399999999999</v>
      </c>
      <c r="E559" s="4">
        <f>258.824416386323 * CHOOSE(CONTROL!$C$10, $C$13, 100%, $E$13) + CHOOSE(CONTROL!$C$29, 0.0021, 0)</f>
        <v>258.82651638632296</v>
      </c>
    </row>
    <row r="560" spans="1:5" ht="15">
      <c r="A560" s="13">
        <v>58195</v>
      </c>
      <c r="B560" s="4">
        <f>41.9617 * CHOOSE(CONTROL!$C$10, $C$13, 100%, $E$13) + CHOOSE(CONTROL!$C$29, 0.0272, 0)</f>
        <v>41.988900000000001</v>
      </c>
      <c r="C560" s="4">
        <f>41.5984 * CHOOSE(CONTROL!$C$10, $C$13, 100%, $E$13) + CHOOSE(CONTROL!$C$29, 0.0272, 0)</f>
        <v>41.625599999999999</v>
      </c>
      <c r="D560" s="4">
        <f>54.6196 * CHOOSE(CONTROL!$C$10, $C$13, 100%, $E$13) + CHOOSE(CONTROL!$C$29, 0.0021, 0)</f>
        <v>54.621699999999997</v>
      </c>
      <c r="E560" s="4">
        <f>269.382017615797 * CHOOSE(CONTROL!$C$10, $C$13, 100%, $E$13) + CHOOSE(CONTROL!$C$29, 0.0021, 0)</f>
        <v>269.38411761579698</v>
      </c>
    </row>
    <row r="561" spans="1:5" ht="15">
      <c r="A561" s="13">
        <v>58226</v>
      </c>
      <c r="B561" s="4">
        <f>42.9479 * CHOOSE(CONTROL!$C$10, $C$13, 100%, $E$13) + CHOOSE(CONTROL!$C$29, 0.0272, 0)</f>
        <v>42.975099999999998</v>
      </c>
      <c r="C561" s="4">
        <f>42.5847 * CHOOSE(CONTROL!$C$10, $C$13, 100%, $E$13) + CHOOSE(CONTROL!$C$29, 0.0272, 0)</f>
        <v>42.611899999999999</v>
      </c>
      <c r="D561" s="4">
        <f>54.0283 * CHOOSE(CONTROL!$C$10, $C$13, 100%, $E$13) + CHOOSE(CONTROL!$C$29, 0.0021, 0)</f>
        <v>54.0304</v>
      </c>
      <c r="E561" s="4">
        <f>275.832458936618 * CHOOSE(CONTROL!$C$10, $C$13, 100%, $E$13) + CHOOSE(CONTROL!$C$29, 0.0021, 0)</f>
        <v>275.83455893661801</v>
      </c>
    </row>
    <row r="562" spans="1:5" ht="15">
      <c r="A562" s="13">
        <v>58256</v>
      </c>
      <c r="B562" s="4">
        <f>43.0814 * CHOOSE(CONTROL!$C$10, $C$13, 100%, $E$13) + CHOOSE(CONTROL!$C$29, 0.0272, 0)</f>
        <v>43.108600000000003</v>
      </c>
      <c r="C562" s="4">
        <f>42.7181 * CHOOSE(CONTROL!$C$10, $C$13, 100%, $E$13) + CHOOSE(CONTROL!$C$29, 0.0272, 0)</f>
        <v>42.7453</v>
      </c>
      <c r="D562" s="4">
        <f>54.5098 * CHOOSE(CONTROL!$C$10, $C$13, 100%, $E$13) + CHOOSE(CONTROL!$C$29, 0.0021, 0)</f>
        <v>54.511899999999997</v>
      </c>
      <c r="E562" s="4">
        <f>276.705230417206 * CHOOSE(CONTROL!$C$10, $C$13, 100%, $E$13) + CHOOSE(CONTROL!$C$29, 0.0021, 0)</f>
        <v>276.70733041720598</v>
      </c>
    </row>
    <row r="563" spans="1:5" ht="15">
      <c r="A563" s="13">
        <v>58287</v>
      </c>
      <c r="B563" s="4">
        <f>43.0679 * CHOOSE(CONTROL!$C$10, $C$13, 100%, $E$13) + CHOOSE(CONTROL!$C$29, 0.0272, 0)</f>
        <v>43.095100000000002</v>
      </c>
      <c r="C563" s="4">
        <f>42.7047 * CHOOSE(CONTROL!$C$10, $C$13, 100%, $E$13) + CHOOSE(CONTROL!$C$29, 0.0272, 0)</f>
        <v>42.731900000000003</v>
      </c>
      <c r="D563" s="4">
        <f>55.3787 * CHOOSE(CONTROL!$C$10, $C$13, 100%, $E$13) + CHOOSE(CONTROL!$C$29, 0.0021, 0)</f>
        <v>55.380800000000001</v>
      </c>
      <c r="E563" s="4">
        <f>276.617219847735 * CHOOSE(CONTROL!$C$10, $C$13, 100%, $E$13) + CHOOSE(CONTROL!$C$29, 0.0021, 0)</f>
        <v>276.61931984773497</v>
      </c>
    </row>
    <row r="564" spans="1:5" ht="15">
      <c r="A564" s="13">
        <v>58318</v>
      </c>
      <c r="B564" s="4">
        <f>44.0806 * CHOOSE(CONTROL!$C$10, $C$13, 100%, $E$13) + CHOOSE(CONTROL!$C$29, 0.0272, 0)</f>
        <v>44.107799999999997</v>
      </c>
      <c r="C564" s="4">
        <f>43.7173 * CHOOSE(CONTROL!$C$10, $C$13, 100%, $E$13) + CHOOSE(CONTROL!$C$29, 0.0272, 0)</f>
        <v>43.744500000000002</v>
      </c>
      <c r="D564" s="4">
        <f>54.8049 * CHOOSE(CONTROL!$C$10, $C$13, 100%, $E$13) + CHOOSE(CONTROL!$C$29, 0.0021, 0)</f>
        <v>54.807000000000002</v>
      </c>
      <c r="E564" s="4">
        <f>283.240015200437 * CHOOSE(CONTROL!$C$10, $C$13, 100%, $E$13) + CHOOSE(CONTROL!$C$29, 0.0021, 0)</f>
        <v>283.24211520043701</v>
      </c>
    </row>
    <row r="565" spans="1:5" ht="15">
      <c r="A565" s="13">
        <v>58348</v>
      </c>
      <c r="B565" s="4">
        <f>42.3547 * CHOOSE(CONTROL!$C$10, $C$13, 100%, $E$13) + CHOOSE(CONTROL!$C$29, 0.0272, 0)</f>
        <v>42.381900000000002</v>
      </c>
      <c r="C565" s="4">
        <f>41.9914 * CHOOSE(CONTROL!$C$10, $C$13, 100%, $E$13) + CHOOSE(CONTROL!$C$29, 0.0272, 0)</f>
        <v>42.018599999999999</v>
      </c>
      <c r="D565" s="4">
        <f>54.5338 * CHOOSE(CONTROL!$C$10, $C$13, 100%, $E$13) + CHOOSE(CONTROL!$C$29, 0.0021, 0)</f>
        <v>54.535899999999998</v>
      </c>
      <c r="E565" s="4">
        <f>271.952659665766 * CHOOSE(CONTROL!$C$10, $C$13, 100%, $E$13) + CHOOSE(CONTROL!$C$29, 0.0021, 0)</f>
        <v>271.95475966576601</v>
      </c>
    </row>
    <row r="566" spans="1:5" ht="15">
      <c r="A566" s="13">
        <v>58379</v>
      </c>
      <c r="B566" s="4">
        <f>40.9732 * CHOOSE(CONTROL!$C$10, $C$13, 100%, $E$13) + CHOOSE(CONTROL!$C$29, 0.0272, 0)</f>
        <v>41.000399999999999</v>
      </c>
      <c r="C566" s="4">
        <f>40.6099 * CHOOSE(CONTROL!$C$10, $C$13, 100%, $E$13) + CHOOSE(CONTROL!$C$29, 0.0272, 0)</f>
        <v>40.637100000000004</v>
      </c>
      <c r="D566" s="4">
        <f>53.8079 * CHOOSE(CONTROL!$C$10, $C$13, 100%, $E$13) + CHOOSE(CONTROL!$C$29, 0.0021, 0)</f>
        <v>53.809999999999995</v>
      </c>
      <c r="E566" s="4">
        <f>262.916907866731 * CHOOSE(CONTROL!$C$10, $C$13, 100%, $E$13) + CHOOSE(CONTROL!$C$29, 0.0021, 0)</f>
        <v>262.91900786673096</v>
      </c>
    </row>
    <row r="567" spans="1:5" ht="15">
      <c r="A567" s="13">
        <v>58409</v>
      </c>
      <c r="B567" s="4">
        <f>40.0833 * CHOOSE(CONTROL!$C$10, $C$13, 100%, $E$13) + CHOOSE(CONTROL!$C$29, 0.0272, 0)</f>
        <v>40.110500000000002</v>
      </c>
      <c r="C567" s="4">
        <f>39.7201 * CHOOSE(CONTROL!$C$10, $C$13, 100%, $E$13) + CHOOSE(CONTROL!$C$29, 0.0272, 0)</f>
        <v>39.747300000000003</v>
      </c>
      <c r="D567" s="4">
        <f>53.5583 * CHOOSE(CONTROL!$C$10, $C$13, 100%, $E$13) + CHOOSE(CONTROL!$C$29, 0.0021, 0)</f>
        <v>53.560400000000001</v>
      </c>
      <c r="E567" s="4">
        <f>257.097208960453 * CHOOSE(CONTROL!$C$10, $C$13, 100%, $E$13) + CHOOSE(CONTROL!$C$29, 0.0021, 0)</f>
        <v>257.09930896045296</v>
      </c>
    </row>
    <row r="568" spans="1:5" ht="15">
      <c r="A568" s="13">
        <v>58440</v>
      </c>
      <c r="B568" s="4">
        <f>39.4677 * CHOOSE(CONTROL!$C$10, $C$13, 100%, $E$13) + CHOOSE(CONTROL!$C$29, 0.0272, 0)</f>
        <v>39.494900000000001</v>
      </c>
      <c r="C568" s="4">
        <f>39.1044 * CHOOSE(CONTROL!$C$10, $C$13, 100%, $E$13) + CHOOSE(CONTROL!$C$29, 0.0272, 0)</f>
        <v>39.131599999999999</v>
      </c>
      <c r="D568" s="4">
        <f>51.721 * CHOOSE(CONTROL!$C$10, $C$13, 100%, $E$13) + CHOOSE(CONTROL!$C$29, 0.0021, 0)</f>
        <v>51.723099999999995</v>
      </c>
      <c r="E568" s="4">
        <f>253.070725407149 * CHOOSE(CONTROL!$C$10, $C$13, 100%, $E$13) + CHOOSE(CONTROL!$C$29, 0.0021, 0)</f>
        <v>253.07282540714903</v>
      </c>
    </row>
    <row r="569" spans="1:5" ht="15">
      <c r="A569" s="13">
        <v>58471</v>
      </c>
      <c r="B569" s="4">
        <f>37.8541 * CHOOSE(CONTROL!$C$10, $C$13, 100%, $E$13) + CHOOSE(CONTROL!$C$29, 0.0272, 0)</f>
        <v>37.881300000000003</v>
      </c>
      <c r="C569" s="4">
        <f>37.4908 * CHOOSE(CONTROL!$C$10, $C$13, 100%, $E$13) + CHOOSE(CONTROL!$C$29, 0.0272, 0)</f>
        <v>37.518000000000001</v>
      </c>
      <c r="D569" s="4">
        <f>49.6057 * CHOOSE(CONTROL!$C$10, $C$13, 100%, $E$13) + CHOOSE(CONTROL!$C$29, 0.0021, 0)</f>
        <v>49.607799999999997</v>
      </c>
      <c r="E569" s="4">
        <f>242.529301363794 * CHOOSE(CONTROL!$C$10, $C$13, 100%, $E$13) + CHOOSE(CONTROL!$C$29, 0.0021, 0)</f>
        <v>242.531401363794</v>
      </c>
    </row>
    <row r="570" spans="1:5" ht="15">
      <c r="A570" s="13">
        <v>58499</v>
      </c>
      <c r="B570" s="4">
        <f>38.7346 * CHOOSE(CONTROL!$C$10, $C$13, 100%, $E$13) + CHOOSE(CONTROL!$C$29, 0.0272, 0)</f>
        <v>38.761800000000001</v>
      </c>
      <c r="C570" s="4">
        <f>38.3713 * CHOOSE(CONTROL!$C$10, $C$13, 100%, $E$13) + CHOOSE(CONTROL!$C$29, 0.0272, 0)</f>
        <v>38.398499999999999</v>
      </c>
      <c r="D570" s="4">
        <f>51.2911 * CHOOSE(CONTROL!$C$10, $C$13, 100%, $E$13) + CHOOSE(CONTROL!$C$29, 0.0021, 0)</f>
        <v>51.293199999999999</v>
      </c>
      <c r="E570" s="4">
        <f>248.287902764184 * CHOOSE(CONTROL!$C$10, $C$13, 100%, $E$13) + CHOOSE(CONTROL!$C$29, 0.0021, 0)</f>
        <v>248.29000276418401</v>
      </c>
    </row>
    <row r="571" spans="1:5" ht="15">
      <c r="A571" s="13">
        <v>58531</v>
      </c>
      <c r="B571" s="4">
        <f>41.0466 * CHOOSE(CONTROL!$C$10, $C$13, 100%, $E$13) + CHOOSE(CONTROL!$C$29, 0.0272, 0)</f>
        <v>41.073799999999999</v>
      </c>
      <c r="C571" s="4">
        <f>40.6834 * CHOOSE(CONTROL!$C$10, $C$13, 100%, $E$13) + CHOOSE(CONTROL!$C$29, 0.0272, 0)</f>
        <v>40.710599999999999</v>
      </c>
      <c r="D571" s="4">
        <f>53.9295 * CHOOSE(CONTROL!$C$10, $C$13, 100%, $E$13) + CHOOSE(CONTROL!$C$29, 0.0021, 0)</f>
        <v>53.931599999999996</v>
      </c>
      <c r="E571" s="4">
        <f>263.410296072272 * CHOOSE(CONTROL!$C$10, $C$13, 100%, $E$13) + CHOOSE(CONTROL!$C$29, 0.0021, 0)</f>
        <v>263.41239607227197</v>
      </c>
    </row>
    <row r="572" spans="1:5" ht="15">
      <c r="A572" s="13">
        <v>58561</v>
      </c>
      <c r="B572" s="4">
        <f>42.6894 * CHOOSE(CONTROL!$C$10, $C$13, 100%, $E$13) + CHOOSE(CONTROL!$C$29, 0.0272, 0)</f>
        <v>42.7166</v>
      </c>
      <c r="C572" s="4">
        <f>42.3261 * CHOOSE(CONTROL!$C$10, $C$13, 100%, $E$13) + CHOOSE(CONTROL!$C$29, 0.0272, 0)</f>
        <v>42.353299999999997</v>
      </c>
      <c r="D572" s="4">
        <f>55.4493 * CHOOSE(CONTROL!$C$10, $C$13, 100%, $E$13) + CHOOSE(CONTROL!$C$29, 0.0021, 0)</f>
        <v>55.4514</v>
      </c>
      <c r="E572" s="4">
        <f>274.154958050057 * CHOOSE(CONTROL!$C$10, $C$13, 100%, $E$13) + CHOOSE(CONTROL!$C$29, 0.0021, 0)</f>
        <v>274.157058050057</v>
      </c>
    </row>
    <row r="573" spans="1:5" ht="15">
      <c r="A573" s="13">
        <v>58592</v>
      </c>
      <c r="B573" s="4">
        <f>43.6931 * CHOOSE(CONTROL!$C$10, $C$13, 100%, $E$13) + CHOOSE(CONTROL!$C$29, 0.0272, 0)</f>
        <v>43.720300000000002</v>
      </c>
      <c r="C573" s="4">
        <f>43.3298 * CHOOSE(CONTROL!$C$10, $C$13, 100%, $E$13) + CHOOSE(CONTROL!$C$29, 0.0272, 0)</f>
        <v>43.356999999999999</v>
      </c>
      <c r="D573" s="4">
        <f>54.8488 * CHOOSE(CONTROL!$C$10, $C$13, 100%, $E$13) + CHOOSE(CONTROL!$C$29, 0.0021, 0)</f>
        <v>54.850899999999996</v>
      </c>
      <c r="E573" s="4">
        <f>280.719689004876 * CHOOSE(CONTROL!$C$10, $C$13, 100%, $E$13) + CHOOSE(CONTROL!$C$29, 0.0021, 0)</f>
        <v>280.72178900487597</v>
      </c>
    </row>
    <row r="574" spans="1:5" ht="15">
      <c r="A574" s="13">
        <v>58622</v>
      </c>
      <c r="B574" s="4">
        <f>43.8289 * CHOOSE(CONTROL!$C$10, $C$13, 100%, $E$13) + CHOOSE(CONTROL!$C$29, 0.0272, 0)</f>
        <v>43.856099999999998</v>
      </c>
      <c r="C574" s="4">
        <f>43.4656 * CHOOSE(CONTROL!$C$10, $C$13, 100%, $E$13) + CHOOSE(CONTROL!$C$29, 0.0272, 0)</f>
        <v>43.492800000000003</v>
      </c>
      <c r="D574" s="4">
        <f>55.3379 * CHOOSE(CONTROL!$C$10, $C$13, 100%, $E$13) + CHOOSE(CONTROL!$C$29, 0.0021, 0)</f>
        <v>55.339999999999996</v>
      </c>
      <c r="E574" s="4">
        <f>281.607924347257 * CHOOSE(CONTROL!$C$10, $C$13, 100%, $E$13) + CHOOSE(CONTROL!$C$29, 0.0021, 0)</f>
        <v>281.61002434725697</v>
      </c>
    </row>
    <row r="575" spans="1:5" ht="15">
      <c r="A575" s="13">
        <v>58653</v>
      </c>
      <c r="B575" s="4">
        <f>43.8152 * CHOOSE(CONTROL!$C$10, $C$13, 100%, $E$13) + CHOOSE(CONTROL!$C$29, 0.0272, 0)</f>
        <v>43.842399999999998</v>
      </c>
      <c r="C575" s="4">
        <f>43.4519 * CHOOSE(CONTROL!$C$10, $C$13, 100%, $E$13) + CHOOSE(CONTROL!$C$29, 0.0272, 0)</f>
        <v>43.479100000000003</v>
      </c>
      <c r="D575" s="4">
        <f>56.2204 * CHOOSE(CONTROL!$C$10, $C$13, 100%, $E$13) + CHOOSE(CONTROL!$C$29, 0.0021, 0)</f>
        <v>56.222499999999997</v>
      </c>
      <c r="E575" s="4">
        <f>281.518354396764 * CHOOSE(CONTROL!$C$10, $C$13, 100%, $E$13) + CHOOSE(CONTROL!$C$29, 0.0021, 0)</f>
        <v>281.52045439676397</v>
      </c>
    </row>
    <row r="576" spans="1:5" ht="15">
      <c r="A576" s="13">
        <v>58684</v>
      </c>
      <c r="B576" s="4">
        <f>44.8457 * CHOOSE(CONTROL!$C$10, $C$13, 100%, $E$13) + CHOOSE(CONTROL!$C$29, 0.0272, 0)</f>
        <v>44.872900000000001</v>
      </c>
      <c r="C576" s="4">
        <f>44.4824 * CHOOSE(CONTROL!$C$10, $C$13, 100%, $E$13) + CHOOSE(CONTROL!$C$29, 0.0272, 0)</f>
        <v>44.509599999999999</v>
      </c>
      <c r="D576" s="4">
        <f>55.6376 * CHOOSE(CONTROL!$C$10, $C$13, 100%, $E$13) + CHOOSE(CONTROL!$C$29, 0.0021, 0)</f>
        <v>55.639699999999998</v>
      </c>
      <c r="E576" s="4">
        <f>288.258493171297 * CHOOSE(CONTROL!$C$10, $C$13, 100%, $E$13) + CHOOSE(CONTROL!$C$29, 0.0021, 0)</f>
        <v>288.26059317129699</v>
      </c>
    </row>
    <row r="577" spans="1:5" ht="15">
      <c r="A577" s="13">
        <v>58714</v>
      </c>
      <c r="B577" s="4">
        <f>43.0894 * CHOOSE(CONTROL!$C$10, $C$13, 100%, $E$13) + CHOOSE(CONTROL!$C$29, 0.0272, 0)</f>
        <v>43.116599999999998</v>
      </c>
      <c r="C577" s="4">
        <f>42.7261 * CHOOSE(CONTROL!$C$10, $C$13, 100%, $E$13) + CHOOSE(CONTROL!$C$29, 0.0272, 0)</f>
        <v>42.753300000000003</v>
      </c>
      <c r="D577" s="4">
        <f>55.3622 * CHOOSE(CONTROL!$C$10, $C$13, 100%, $E$13) + CHOOSE(CONTROL!$C$29, 0.0021, 0)</f>
        <v>55.3643</v>
      </c>
      <c r="E577" s="4">
        <f>276.771147020682 * CHOOSE(CONTROL!$C$10, $C$13, 100%, $E$13) + CHOOSE(CONTROL!$C$29, 0.0021, 0)</f>
        <v>276.77324702068199</v>
      </c>
    </row>
    <row r="578" spans="1:5" ht="15">
      <c r="A578" s="13">
        <v>58745</v>
      </c>
      <c r="B578" s="4">
        <f>41.6834 * CHOOSE(CONTROL!$C$10, $C$13, 100%, $E$13) + CHOOSE(CONTROL!$C$29, 0.0272, 0)</f>
        <v>41.710599999999999</v>
      </c>
      <c r="C578" s="4">
        <f>41.3201 * CHOOSE(CONTROL!$C$10, $C$13, 100%, $E$13) + CHOOSE(CONTROL!$C$29, 0.0272, 0)</f>
        <v>41.347299999999997</v>
      </c>
      <c r="D578" s="4">
        <f>54.6249 * CHOOSE(CONTROL!$C$10, $C$13, 100%, $E$13) + CHOOSE(CONTROL!$C$29, 0.0021, 0)</f>
        <v>54.626999999999995</v>
      </c>
      <c r="E578" s="4">
        <f>267.575298770156 * CHOOSE(CONTROL!$C$10, $C$13, 100%, $E$13) + CHOOSE(CONTROL!$C$29, 0.0021, 0)</f>
        <v>267.57739877015598</v>
      </c>
    </row>
    <row r="579" spans="1:5" ht="15">
      <c r="A579" s="13">
        <v>58775</v>
      </c>
      <c r="B579" s="4">
        <f>40.7779 * CHOOSE(CONTROL!$C$10, $C$13, 100%, $E$13) + CHOOSE(CONTROL!$C$29, 0.0272, 0)</f>
        <v>40.805100000000003</v>
      </c>
      <c r="C579" s="4">
        <f>40.4146 * CHOOSE(CONTROL!$C$10, $C$13, 100%, $E$13) + CHOOSE(CONTROL!$C$29, 0.0272, 0)</f>
        <v>40.441800000000001</v>
      </c>
      <c r="D579" s="4">
        <f>54.3714 * CHOOSE(CONTROL!$C$10, $C$13, 100%, $E$13) + CHOOSE(CONTROL!$C$29, 0.0021, 0)</f>
        <v>54.3735</v>
      </c>
      <c r="E579" s="4">
        <f>261.652485793864 * CHOOSE(CONTROL!$C$10, $C$13, 100%, $E$13) + CHOOSE(CONTROL!$C$29, 0.0021, 0)</f>
        <v>261.65458579386399</v>
      </c>
    </row>
    <row r="580" spans="1:5" ht="15">
      <c r="A580" s="13">
        <v>58806</v>
      </c>
      <c r="B580" s="4">
        <f>40.1514 * CHOOSE(CONTROL!$C$10, $C$13, 100%, $E$13) + CHOOSE(CONTROL!$C$29, 0.0272, 0)</f>
        <v>40.178600000000003</v>
      </c>
      <c r="C580" s="4">
        <f>39.7881 * CHOOSE(CONTROL!$C$10, $C$13, 100%, $E$13) + CHOOSE(CONTROL!$C$29, 0.0272, 0)</f>
        <v>39.815300000000001</v>
      </c>
      <c r="D580" s="4">
        <f>52.5052 * CHOOSE(CONTROL!$C$10, $C$13, 100%, $E$13) + CHOOSE(CONTROL!$C$29, 0.0021, 0)</f>
        <v>52.507300000000001</v>
      </c>
      <c r="E580" s="4">
        <f>257.554660558849 * CHOOSE(CONTROL!$C$10, $C$13, 100%, $E$13) + CHOOSE(CONTROL!$C$29, 0.0021, 0)</f>
        <v>257.55676055884896</v>
      </c>
    </row>
    <row r="581" spans="1:5" ht="15">
      <c r="A581" s="13">
        <v>58837</v>
      </c>
      <c r="B581" s="4">
        <f>38.5093 * CHOOSE(CONTROL!$C$10, $C$13, 100%, $E$13) + CHOOSE(CONTROL!$C$29, 0.0272, 0)</f>
        <v>38.536500000000004</v>
      </c>
      <c r="C581" s="4">
        <f>38.146 * CHOOSE(CONTROL!$C$10, $C$13, 100%, $E$13) + CHOOSE(CONTROL!$C$29, 0.0272, 0)</f>
        <v>38.173200000000001</v>
      </c>
      <c r="D581" s="4">
        <f>50.3566 * CHOOSE(CONTROL!$C$10, $C$13, 100%, $E$13) + CHOOSE(CONTROL!$C$29, 0.0021, 0)</f>
        <v>50.358699999999999</v>
      </c>
      <c r="E581" s="4">
        <f>246.826462396359 * CHOOSE(CONTROL!$C$10, $C$13, 100%, $E$13) + CHOOSE(CONTROL!$C$29, 0.0021, 0)</f>
        <v>246.82856239635902</v>
      </c>
    </row>
    <row r="582" spans="1:5" ht="15">
      <c r="A582" s="13">
        <v>58865</v>
      </c>
      <c r="B582" s="4">
        <f>39.4053 * CHOOSE(CONTROL!$C$10, $C$13, 100%, $E$13) + CHOOSE(CONTROL!$C$29, 0.0272, 0)</f>
        <v>39.432499999999997</v>
      </c>
      <c r="C582" s="4">
        <f>39.042 * CHOOSE(CONTROL!$C$10, $C$13, 100%, $E$13) + CHOOSE(CONTROL!$C$29, 0.0272, 0)</f>
        <v>39.069200000000002</v>
      </c>
      <c r="D582" s="4">
        <f>52.0685 * CHOOSE(CONTROL!$C$10, $C$13, 100%, $E$13) + CHOOSE(CONTROL!$C$29, 0.0021, 0)</f>
        <v>52.070599999999999</v>
      </c>
      <c r="E582" s="4">
        <f>252.687095334384 * CHOOSE(CONTROL!$C$10, $C$13, 100%, $E$13) + CHOOSE(CONTROL!$C$29, 0.0021, 0)</f>
        <v>252.68919533438401</v>
      </c>
    </row>
    <row r="583" spans="1:5" ht="15">
      <c r="A583" s="13">
        <v>58893</v>
      </c>
      <c r="B583" s="4">
        <f>41.7582 * CHOOSE(CONTROL!$C$10, $C$13, 100%, $E$13) + CHOOSE(CONTROL!$C$29, 0.0272, 0)</f>
        <v>41.785400000000003</v>
      </c>
      <c r="C583" s="4">
        <f>41.3949 * CHOOSE(CONTROL!$C$10, $C$13, 100%, $E$13) + CHOOSE(CONTROL!$C$29, 0.0272, 0)</f>
        <v>41.4221</v>
      </c>
      <c r="D583" s="4">
        <f>54.7484 * CHOOSE(CONTROL!$C$10, $C$13, 100%, $E$13) + CHOOSE(CONTROL!$C$29, 0.0021, 0)</f>
        <v>54.750499999999995</v>
      </c>
      <c r="E583" s="4">
        <f>268.077428882588 * CHOOSE(CONTROL!$C$10, $C$13, 100%, $E$13) + CHOOSE(CONTROL!$C$29, 0.0021, 0)</f>
        <v>268.07952888258797</v>
      </c>
    </row>
    <row r="584" spans="1:5" ht="15">
      <c r="A584" s="13">
        <v>58926</v>
      </c>
      <c r="B584" s="4">
        <f>43.43 * CHOOSE(CONTROL!$C$10, $C$13, 100%, $E$13) + CHOOSE(CONTROL!$C$29, 0.0272, 0)</f>
        <v>43.4572</v>
      </c>
      <c r="C584" s="4">
        <f>43.0667 * CHOOSE(CONTROL!$C$10, $C$13, 100%, $E$13) + CHOOSE(CONTROL!$C$29, 0.0272, 0)</f>
        <v>43.093899999999998</v>
      </c>
      <c r="D584" s="4">
        <f>56.2921 * CHOOSE(CONTROL!$C$10, $C$13, 100%, $E$13) + CHOOSE(CONTROL!$C$29, 0.0021, 0)</f>
        <v>56.294199999999996</v>
      </c>
      <c r="E584" s="4">
        <f>279.012465971749 * CHOOSE(CONTROL!$C$10, $C$13, 100%, $E$13) + CHOOSE(CONTROL!$C$29, 0.0021, 0)</f>
        <v>279.01456597174899</v>
      </c>
    </row>
    <row r="585" spans="1:5" ht="15">
      <c r="A585" s="13">
        <v>58957</v>
      </c>
      <c r="B585" s="4">
        <f>44.4514 * CHOOSE(CONTROL!$C$10, $C$13, 100%, $E$13) + CHOOSE(CONTROL!$C$29, 0.0272, 0)</f>
        <v>44.4786</v>
      </c>
      <c r="C585" s="4">
        <f>44.0881 * CHOOSE(CONTROL!$C$10, $C$13, 100%, $E$13) + CHOOSE(CONTROL!$C$29, 0.0272, 0)</f>
        <v>44.115299999999998</v>
      </c>
      <c r="D585" s="4">
        <f>55.6821 * CHOOSE(CONTROL!$C$10, $C$13, 100%, $E$13) + CHOOSE(CONTROL!$C$29, 0.0021, 0)</f>
        <v>55.684199999999997</v>
      </c>
      <c r="E585" s="4">
        <f>285.693511556964 * CHOOSE(CONTROL!$C$10, $C$13, 100%, $E$13) + CHOOSE(CONTROL!$C$29, 0.0021, 0)</f>
        <v>285.69561155696397</v>
      </c>
    </row>
    <row r="586" spans="1:5" ht="15">
      <c r="A586" s="13">
        <v>58987</v>
      </c>
      <c r="B586" s="4">
        <f>44.5896 * CHOOSE(CONTROL!$C$10, $C$13, 100%, $E$13) + CHOOSE(CONTROL!$C$29, 0.0272, 0)</f>
        <v>44.616799999999998</v>
      </c>
      <c r="C586" s="4">
        <f>44.2263 * CHOOSE(CONTROL!$C$10, $C$13, 100%, $E$13) + CHOOSE(CONTROL!$C$29, 0.0272, 0)</f>
        <v>44.253500000000003</v>
      </c>
      <c r="D586" s="4">
        <f>56.1789 * CHOOSE(CONTROL!$C$10, $C$13, 100%, $E$13) + CHOOSE(CONTROL!$C$29, 0.0021, 0)</f>
        <v>56.180999999999997</v>
      </c>
      <c r="E586" s="4">
        <f>286.597484751553 * CHOOSE(CONTROL!$C$10, $C$13, 100%, $E$13) + CHOOSE(CONTROL!$C$29, 0.0021, 0)</f>
        <v>286.59958475155298</v>
      </c>
    </row>
    <row r="587" spans="1:5" ht="15">
      <c r="A587" s="13">
        <v>59018</v>
      </c>
      <c r="B587" s="4">
        <f>44.5757 * CHOOSE(CONTROL!$C$10, $C$13, 100%, $E$13) + CHOOSE(CONTROL!$C$29, 0.0272, 0)</f>
        <v>44.602899999999998</v>
      </c>
      <c r="C587" s="4">
        <f>44.2124 * CHOOSE(CONTROL!$C$10, $C$13, 100%, $E$13) + CHOOSE(CONTROL!$C$29, 0.0272, 0)</f>
        <v>44.239600000000003</v>
      </c>
      <c r="D587" s="4">
        <f>57.0753 * CHOOSE(CONTROL!$C$10, $C$13, 100%, $E$13) + CHOOSE(CONTROL!$C$29, 0.0021, 0)</f>
        <v>57.077399999999997</v>
      </c>
      <c r="E587" s="4">
        <f>286.506327790754 * CHOOSE(CONTROL!$C$10, $C$13, 100%, $E$13) + CHOOSE(CONTROL!$C$29, 0.0021, 0)</f>
        <v>286.50842779075401</v>
      </c>
    </row>
    <row r="588" spans="1:5" ht="15">
      <c r="A588" s="13">
        <v>59049</v>
      </c>
      <c r="B588" s="4">
        <f>45.6244 * CHOOSE(CONTROL!$C$10, $C$13, 100%, $E$13) + CHOOSE(CONTROL!$C$29, 0.0272, 0)</f>
        <v>45.651600000000002</v>
      </c>
      <c r="C588" s="4">
        <f>45.2611 * CHOOSE(CONTROL!$C$10, $C$13, 100%, $E$13) + CHOOSE(CONTROL!$C$29, 0.0272, 0)</f>
        <v>45.2883</v>
      </c>
      <c r="D588" s="4">
        <f>56.4834 * CHOOSE(CONTROL!$C$10, $C$13, 100%, $E$13) + CHOOSE(CONTROL!$C$29, 0.0021, 0)</f>
        <v>56.485500000000002</v>
      </c>
      <c r="E588" s="4">
        <f>293.365889090866 * CHOOSE(CONTROL!$C$10, $C$13, 100%, $E$13) + CHOOSE(CONTROL!$C$29, 0.0021, 0)</f>
        <v>293.36798909086599</v>
      </c>
    </row>
    <row r="589" spans="1:5" ht="15">
      <c r="A589" s="13">
        <v>59079</v>
      </c>
      <c r="B589" s="4">
        <f>43.837 * CHOOSE(CONTROL!$C$10, $C$13, 100%, $E$13) + CHOOSE(CONTROL!$C$29, 0.0272, 0)</f>
        <v>43.864200000000004</v>
      </c>
      <c r="C589" s="4">
        <f>43.4738 * CHOOSE(CONTROL!$C$10, $C$13, 100%, $E$13) + CHOOSE(CONTROL!$C$29, 0.0272, 0)</f>
        <v>43.500999999999998</v>
      </c>
      <c r="D589" s="4">
        <f>56.2037 * CHOOSE(CONTROL!$C$10, $C$13, 100%, $E$13) + CHOOSE(CONTROL!$C$29, 0.0021, 0)</f>
        <v>56.205799999999996</v>
      </c>
      <c r="E589" s="4">
        <f>281.675008868415 * CHOOSE(CONTROL!$C$10, $C$13, 100%, $E$13) + CHOOSE(CONTROL!$C$29, 0.0021, 0)</f>
        <v>281.67710886841496</v>
      </c>
    </row>
    <row r="590" spans="1:5" ht="15">
      <c r="A590" s="13">
        <v>59110</v>
      </c>
      <c r="B590" s="4">
        <f>42.4062 * CHOOSE(CONTROL!$C$10, $C$13, 100%, $E$13) + CHOOSE(CONTROL!$C$29, 0.0272, 0)</f>
        <v>42.433399999999999</v>
      </c>
      <c r="C590" s="4">
        <f>42.043 * CHOOSE(CONTROL!$C$10, $C$13, 100%, $E$13) + CHOOSE(CONTROL!$C$29, 0.0272, 0)</f>
        <v>42.0702</v>
      </c>
      <c r="D590" s="4">
        <f>55.4547 * CHOOSE(CONTROL!$C$10, $C$13, 100%, $E$13) + CHOOSE(CONTROL!$C$29, 0.0021, 0)</f>
        <v>55.456800000000001</v>
      </c>
      <c r="E590" s="4">
        <f>272.316227559734 * CHOOSE(CONTROL!$C$10, $C$13, 100%, $E$13) + CHOOSE(CONTROL!$C$29, 0.0021, 0)</f>
        <v>272.31832755973397</v>
      </c>
    </row>
    <row r="591" spans="1:5" ht="15">
      <c r="A591" s="13">
        <v>59140</v>
      </c>
      <c r="B591" s="4">
        <f>41.4847 * CHOOSE(CONTROL!$C$10, $C$13, 100%, $E$13) + CHOOSE(CONTROL!$C$29, 0.0272, 0)</f>
        <v>41.511899999999997</v>
      </c>
      <c r="C591" s="4">
        <f>41.1214 * CHOOSE(CONTROL!$C$10, $C$13, 100%, $E$13) + CHOOSE(CONTROL!$C$29, 0.0272, 0)</f>
        <v>41.148600000000002</v>
      </c>
      <c r="D591" s="4">
        <f>55.1973 * CHOOSE(CONTROL!$C$10, $C$13, 100%, $E$13) + CHOOSE(CONTROL!$C$29, 0.0021, 0)</f>
        <v>55.199399999999997</v>
      </c>
      <c r="E591" s="4">
        <f>266.288473526911 * CHOOSE(CONTROL!$C$10, $C$13, 100%, $E$13) + CHOOSE(CONTROL!$C$29, 0.0021, 0)</f>
        <v>266.29057352691098</v>
      </c>
    </row>
    <row r="592" spans="1:5" ht="15">
      <c r="A592" s="13">
        <v>59171</v>
      </c>
      <c r="B592" s="4">
        <f>40.8471 * CHOOSE(CONTROL!$C$10, $C$13, 100%, $E$13) + CHOOSE(CONTROL!$C$29, 0.0272, 0)</f>
        <v>40.874299999999998</v>
      </c>
      <c r="C592" s="4">
        <f>40.4838 * CHOOSE(CONTROL!$C$10, $C$13, 100%, $E$13) + CHOOSE(CONTROL!$C$29, 0.0272, 0)</f>
        <v>40.511000000000003</v>
      </c>
      <c r="D592" s="4">
        <f>53.3017 * CHOOSE(CONTROL!$C$10, $C$13, 100%, $E$13) + CHOOSE(CONTROL!$C$29, 0.0021, 0)</f>
        <v>53.303799999999995</v>
      </c>
      <c r="E592" s="4">
        <f>262.118042570364 * CHOOSE(CONTROL!$C$10, $C$13, 100%, $E$13) + CHOOSE(CONTROL!$C$29, 0.0021, 0)</f>
        <v>262.12014257036401</v>
      </c>
    </row>
    <row r="593" spans="1:5" ht="15">
      <c r="A593" s="13">
        <v>59202</v>
      </c>
      <c r="B593" s="4">
        <f>39.176 * CHOOSE(CONTROL!$C$10, $C$13, 100%, $E$13) + CHOOSE(CONTROL!$C$29, 0.0272, 0)</f>
        <v>39.203200000000002</v>
      </c>
      <c r="C593" s="4">
        <f>38.8127 * CHOOSE(CONTROL!$C$10, $C$13, 100%, $E$13) + CHOOSE(CONTROL!$C$29, 0.0272, 0)</f>
        <v>38.8399</v>
      </c>
      <c r="D593" s="4">
        <f>51.1194 * CHOOSE(CONTROL!$C$10, $C$13, 100%, $E$13) + CHOOSE(CONTROL!$C$29, 0.0021, 0)</f>
        <v>51.121499999999997</v>
      </c>
      <c r="E593" s="4">
        <f>251.199761004201 * CHOOSE(CONTROL!$C$10, $C$13, 100%, $E$13) + CHOOSE(CONTROL!$C$29, 0.0021, 0)</f>
        <v>251.20186100420102</v>
      </c>
    </row>
    <row r="594" spans="1:5" ht="15">
      <c r="A594" s="13">
        <v>59230</v>
      </c>
      <c r="B594" s="4">
        <f>40.0878 * CHOOSE(CONTROL!$C$10, $C$13, 100%, $E$13) + CHOOSE(CONTROL!$C$29, 0.0272, 0)</f>
        <v>40.115000000000002</v>
      </c>
      <c r="C594" s="4">
        <f>39.7245 * CHOOSE(CONTROL!$C$10, $C$13, 100%, $E$13) + CHOOSE(CONTROL!$C$29, 0.0272, 0)</f>
        <v>39.7517</v>
      </c>
      <c r="D594" s="4">
        <f>52.8582 * CHOOSE(CONTROL!$C$10, $C$13, 100%, $E$13) + CHOOSE(CONTROL!$C$29, 0.0021, 0)</f>
        <v>52.860299999999995</v>
      </c>
      <c r="E594" s="4">
        <f>257.164233285951 * CHOOSE(CONTROL!$C$10, $C$13, 100%, $E$13) + CHOOSE(CONTROL!$C$29, 0.0021, 0)</f>
        <v>257.166333285951</v>
      </c>
    </row>
    <row r="595" spans="1:5" ht="15">
      <c r="A595" s="13">
        <v>59261</v>
      </c>
      <c r="B595" s="4">
        <f>42.4823 * CHOOSE(CONTROL!$C$10, $C$13, 100%, $E$13) + CHOOSE(CONTROL!$C$29, 0.0272, 0)</f>
        <v>42.509500000000003</v>
      </c>
      <c r="C595" s="4">
        <f>42.119 * CHOOSE(CONTROL!$C$10, $C$13, 100%, $E$13) + CHOOSE(CONTROL!$C$29, 0.0272, 0)</f>
        <v>42.1462</v>
      </c>
      <c r="D595" s="4">
        <f>55.5802 * CHOOSE(CONTROL!$C$10, $C$13, 100%, $E$13) + CHOOSE(CONTROL!$C$29, 0.0021, 0)</f>
        <v>55.582299999999996</v>
      </c>
      <c r="E595" s="4">
        <f>272.827254469132 * CHOOSE(CONTROL!$C$10, $C$13, 100%, $E$13) + CHOOSE(CONTROL!$C$29, 0.0021, 0)</f>
        <v>272.829354469132</v>
      </c>
    </row>
    <row r="596" spans="1:5" ht="15">
      <c r="A596" s="13">
        <v>59291</v>
      </c>
      <c r="B596" s="4">
        <f>44.1837 * CHOOSE(CONTROL!$C$10, $C$13, 100%, $E$13) + CHOOSE(CONTROL!$C$29, 0.0272, 0)</f>
        <v>44.210900000000002</v>
      </c>
      <c r="C596" s="4">
        <f>43.8204 * CHOOSE(CONTROL!$C$10, $C$13, 100%, $E$13) + CHOOSE(CONTROL!$C$29, 0.0272, 0)</f>
        <v>43.8476</v>
      </c>
      <c r="D596" s="4">
        <f>57.1482 * CHOOSE(CONTROL!$C$10, $C$13, 100%, $E$13) + CHOOSE(CONTROL!$C$29, 0.0021, 0)</f>
        <v>57.150300000000001</v>
      </c>
      <c r="E596" s="4">
        <f>283.956039756985 * CHOOSE(CONTROL!$C$10, $C$13, 100%, $E$13) + CHOOSE(CONTROL!$C$29, 0.0021, 0)</f>
        <v>283.95813975698496</v>
      </c>
    </row>
    <row r="597" spans="1:5" ht="15">
      <c r="A597" s="13">
        <v>59322</v>
      </c>
      <c r="B597" s="4">
        <f>45.2231 * CHOOSE(CONTROL!$C$10, $C$13, 100%, $E$13) + CHOOSE(CONTROL!$C$29, 0.0272, 0)</f>
        <v>45.250300000000003</v>
      </c>
      <c r="C597" s="4">
        <f>44.8598 * CHOOSE(CONTROL!$C$10, $C$13, 100%, $E$13) + CHOOSE(CONTROL!$C$29, 0.0272, 0)</f>
        <v>44.887</v>
      </c>
      <c r="D597" s="4">
        <f>56.5286 * CHOOSE(CONTROL!$C$10, $C$13, 100%, $E$13) + CHOOSE(CONTROL!$C$29, 0.0021, 0)</f>
        <v>56.530699999999996</v>
      </c>
      <c r="E597" s="4">
        <f>290.755460848104 * CHOOSE(CONTROL!$C$10, $C$13, 100%, $E$13) + CHOOSE(CONTROL!$C$29, 0.0021, 0)</f>
        <v>290.75756084810399</v>
      </c>
    </row>
    <row r="598" spans="1:5" ht="15">
      <c r="A598" s="13">
        <v>59352</v>
      </c>
      <c r="B598" s="4">
        <f>45.3638 * CHOOSE(CONTROL!$C$10, $C$13, 100%, $E$13) + CHOOSE(CONTROL!$C$29, 0.0272, 0)</f>
        <v>45.390999999999998</v>
      </c>
      <c r="C598" s="4">
        <f>45.0005 * CHOOSE(CONTROL!$C$10, $C$13, 100%, $E$13) + CHOOSE(CONTROL!$C$29, 0.0272, 0)</f>
        <v>45.027700000000003</v>
      </c>
      <c r="D598" s="4">
        <f>57.0332 * CHOOSE(CONTROL!$C$10, $C$13, 100%, $E$13) + CHOOSE(CONTROL!$C$29, 0.0021, 0)</f>
        <v>57.035299999999999</v>
      </c>
      <c r="E598" s="4">
        <f>291.67545073991 * CHOOSE(CONTROL!$C$10, $C$13, 100%, $E$13) + CHOOSE(CONTROL!$C$29, 0.0021, 0)</f>
        <v>291.67755073990998</v>
      </c>
    </row>
    <row r="599" spans="1:5" ht="15">
      <c r="A599" s="13">
        <v>59383</v>
      </c>
      <c r="B599" s="4">
        <f>45.3496 * CHOOSE(CONTROL!$C$10, $C$13, 100%, $E$13) + CHOOSE(CONTROL!$C$29, 0.0272, 0)</f>
        <v>45.376800000000003</v>
      </c>
      <c r="C599" s="4">
        <f>44.9863 * CHOOSE(CONTROL!$C$10, $C$13, 100%, $E$13) + CHOOSE(CONTROL!$C$29, 0.0272, 0)</f>
        <v>45.013500000000001</v>
      </c>
      <c r="D599" s="4">
        <f>57.9437 * CHOOSE(CONTROL!$C$10, $C$13, 100%, $E$13) + CHOOSE(CONTROL!$C$29, 0.0021, 0)</f>
        <v>57.945799999999998</v>
      </c>
      <c r="E599" s="4">
        <f>291.58267864998 * CHOOSE(CONTROL!$C$10, $C$13, 100%, $E$13) + CHOOSE(CONTROL!$C$29, 0.0021, 0)</f>
        <v>291.58477864997997</v>
      </c>
    </row>
    <row r="600" spans="1:5" ht="15">
      <c r="A600" s="13">
        <v>59414</v>
      </c>
      <c r="B600" s="4">
        <f>46.4168 * CHOOSE(CONTROL!$C$10, $C$13, 100%, $E$13) + CHOOSE(CONTROL!$C$29, 0.0272, 0)</f>
        <v>46.444000000000003</v>
      </c>
      <c r="C600" s="4">
        <f>46.0536 * CHOOSE(CONTROL!$C$10, $C$13, 100%, $E$13) + CHOOSE(CONTROL!$C$29, 0.0272, 0)</f>
        <v>46.080800000000004</v>
      </c>
      <c r="D600" s="4">
        <f>57.3424 * CHOOSE(CONTROL!$C$10, $C$13, 100%, $E$13) + CHOOSE(CONTROL!$C$29, 0.0021, 0)</f>
        <v>57.344499999999996</v>
      </c>
      <c r="E600" s="4">
        <f>298.563778417212 * CHOOSE(CONTROL!$C$10, $C$13, 100%, $E$13) + CHOOSE(CONTROL!$C$29, 0.0021, 0)</f>
        <v>298.56587841721199</v>
      </c>
    </row>
    <row r="601" spans="1:5" ht="15">
      <c r="A601" s="13">
        <v>59444</v>
      </c>
      <c r="B601" s="4">
        <f>44.5979 * CHOOSE(CONTROL!$C$10, $C$13, 100%, $E$13) + CHOOSE(CONTROL!$C$29, 0.0272, 0)</f>
        <v>44.625100000000003</v>
      </c>
      <c r="C601" s="4">
        <f>44.2346 * CHOOSE(CONTROL!$C$10, $C$13, 100%, $E$13) + CHOOSE(CONTROL!$C$29, 0.0272, 0)</f>
        <v>44.261800000000001</v>
      </c>
      <c r="D601" s="4">
        <f>57.0583 * CHOOSE(CONTROL!$C$10, $C$13, 100%, $E$13) + CHOOSE(CONTROL!$C$29, 0.0021, 0)</f>
        <v>57.060400000000001</v>
      </c>
      <c r="E601" s="4">
        <f>286.66575788369 * CHOOSE(CONTROL!$C$10, $C$13, 100%, $E$13) + CHOOSE(CONTROL!$C$29, 0.0021, 0)</f>
        <v>286.66785788368998</v>
      </c>
    </row>
    <row r="602" spans="1:5" ht="15">
      <c r="A602" s="13">
        <v>59475</v>
      </c>
      <c r="B602" s="4">
        <f>43.1418 * CHOOSE(CONTROL!$C$10, $C$13, 100%, $E$13) + CHOOSE(CONTROL!$C$29, 0.0272, 0)</f>
        <v>43.169000000000004</v>
      </c>
      <c r="C602" s="4">
        <f>42.7785 * CHOOSE(CONTROL!$C$10, $C$13, 100%, $E$13) + CHOOSE(CONTROL!$C$29, 0.0272, 0)</f>
        <v>42.805700000000002</v>
      </c>
      <c r="D602" s="4">
        <f>56.2976 * CHOOSE(CONTROL!$C$10, $C$13, 100%, $E$13) + CHOOSE(CONTROL!$C$29, 0.0021, 0)</f>
        <v>56.299700000000001</v>
      </c>
      <c r="E602" s="4">
        <f>277.141156650877 * CHOOSE(CONTROL!$C$10, $C$13, 100%, $E$13) + CHOOSE(CONTROL!$C$29, 0.0021, 0)</f>
        <v>277.14325665087699</v>
      </c>
    </row>
    <row r="603" spans="1:5" ht="15">
      <c r="A603" s="13">
        <v>59505</v>
      </c>
      <c r="B603" s="4">
        <f>42.204 * CHOOSE(CONTROL!$C$10, $C$13, 100%, $E$13) + CHOOSE(CONTROL!$C$29, 0.0272, 0)</f>
        <v>42.231200000000001</v>
      </c>
      <c r="C603" s="4">
        <f>41.8407 * CHOOSE(CONTROL!$C$10, $C$13, 100%, $E$13) + CHOOSE(CONTROL!$C$29, 0.0272, 0)</f>
        <v>41.867899999999999</v>
      </c>
      <c r="D603" s="4">
        <f>56.0361 * CHOOSE(CONTROL!$C$10, $C$13, 100%, $E$13) + CHOOSE(CONTROL!$C$29, 0.0021, 0)</f>
        <v>56.038199999999996</v>
      </c>
      <c r="E603" s="4">
        <f>271.006602204256 * CHOOSE(CONTROL!$C$10, $C$13, 100%, $E$13) + CHOOSE(CONTROL!$C$29, 0.0021, 0)</f>
        <v>271.008702204256</v>
      </c>
    </row>
    <row r="604" spans="1:5" ht="15">
      <c r="A604" s="13">
        <v>59536</v>
      </c>
      <c r="B604" s="4">
        <f>41.5551 * CHOOSE(CONTROL!$C$10, $C$13, 100%, $E$13) + CHOOSE(CONTROL!$C$29, 0.0272, 0)</f>
        <v>41.582300000000004</v>
      </c>
      <c r="C604" s="4">
        <f>41.1919 * CHOOSE(CONTROL!$C$10, $C$13, 100%, $E$13) + CHOOSE(CONTROL!$C$29, 0.0272, 0)</f>
        <v>41.219099999999997</v>
      </c>
      <c r="D604" s="4">
        <f>54.1108 * CHOOSE(CONTROL!$C$10, $C$13, 100%, $E$13) + CHOOSE(CONTROL!$C$29, 0.0021, 0)</f>
        <v>54.112899999999996</v>
      </c>
      <c r="E604" s="4">
        <f>266.762279089958 * CHOOSE(CONTROL!$C$10, $C$13, 100%, $E$13) + CHOOSE(CONTROL!$C$29, 0.0021, 0)</f>
        <v>266.76437908995797</v>
      </c>
    </row>
    <row r="605" spans="1:5" ht="15">
      <c r="A605" s="13">
        <v>59567</v>
      </c>
      <c r="B605" s="4">
        <f>39.8545 * CHOOSE(CONTROL!$C$10, $C$13, 100%, $E$13) + CHOOSE(CONTROL!$C$29, 0.0272, 0)</f>
        <v>39.881700000000002</v>
      </c>
      <c r="C605" s="4">
        <f>39.4912 * CHOOSE(CONTROL!$C$10, $C$13, 100%, $E$13) + CHOOSE(CONTROL!$C$29, 0.0272, 0)</f>
        <v>39.5184</v>
      </c>
      <c r="D605" s="4">
        <f>51.8941 * CHOOSE(CONTROL!$C$10, $C$13, 100%, $E$13) + CHOOSE(CONTROL!$C$29, 0.0021, 0)</f>
        <v>51.8962</v>
      </c>
      <c r="E605" s="4">
        <f>255.650546201317 * CHOOSE(CONTROL!$C$10, $C$13, 100%, $E$13) + CHOOSE(CONTROL!$C$29, 0.0021, 0)</f>
        <v>255.65264620131703</v>
      </c>
    </row>
    <row r="606" spans="1:5" ht="15">
      <c r="A606" s="13">
        <v>59595</v>
      </c>
      <c r="B606" s="4">
        <f>40.7824 * CHOOSE(CONTROL!$C$10, $C$13, 100%, $E$13) + CHOOSE(CONTROL!$C$29, 0.0272, 0)</f>
        <v>40.809600000000003</v>
      </c>
      <c r="C606" s="4">
        <f>40.4192 * CHOOSE(CONTROL!$C$10, $C$13, 100%, $E$13) + CHOOSE(CONTROL!$C$29, 0.0272, 0)</f>
        <v>40.446399999999997</v>
      </c>
      <c r="D606" s="4">
        <f>53.6603 * CHOOSE(CONTROL!$C$10, $C$13, 100%, $E$13) + CHOOSE(CONTROL!$C$29, 0.0021, 0)</f>
        <v>53.662399999999998</v>
      </c>
      <c r="E606" s="4">
        <f>261.720697663787 * CHOOSE(CONTROL!$C$10, $C$13, 100%, $E$13) + CHOOSE(CONTROL!$C$29, 0.0021, 0)</f>
        <v>261.72279766378699</v>
      </c>
    </row>
    <row r="607" spans="1:5" ht="15">
      <c r="A607" s="13">
        <v>59626</v>
      </c>
      <c r="B607" s="4">
        <f>43.2193 * CHOOSE(CONTROL!$C$10, $C$13, 100%, $E$13) + CHOOSE(CONTROL!$C$29, 0.0272, 0)</f>
        <v>43.246499999999997</v>
      </c>
      <c r="C607" s="4">
        <f>42.856 * CHOOSE(CONTROL!$C$10, $C$13, 100%, $E$13) + CHOOSE(CONTROL!$C$29, 0.0272, 0)</f>
        <v>42.883200000000002</v>
      </c>
      <c r="D607" s="4">
        <f>56.4251 * CHOOSE(CONTROL!$C$10, $C$13, 100%, $E$13) + CHOOSE(CONTROL!$C$29, 0.0021, 0)</f>
        <v>56.427199999999999</v>
      </c>
      <c r="E607" s="4">
        <f>277.661237991674 * CHOOSE(CONTROL!$C$10, $C$13, 100%, $E$13) + CHOOSE(CONTROL!$C$29, 0.0021, 0)</f>
        <v>277.66333799167398</v>
      </c>
    </row>
    <row r="608" spans="1:5" ht="15">
      <c r="A608" s="13">
        <v>59656</v>
      </c>
      <c r="B608" s="4">
        <f>44.9506 * CHOOSE(CONTROL!$C$10, $C$13, 100%, $E$13) + CHOOSE(CONTROL!$C$29, 0.0272, 0)</f>
        <v>44.977800000000002</v>
      </c>
      <c r="C608" s="4">
        <f>44.5874 * CHOOSE(CONTROL!$C$10, $C$13, 100%, $E$13) + CHOOSE(CONTROL!$C$29, 0.0272, 0)</f>
        <v>44.614600000000003</v>
      </c>
      <c r="D608" s="4">
        <f>58.0177 * CHOOSE(CONTROL!$C$10, $C$13, 100%, $E$13) + CHOOSE(CONTROL!$C$29, 0.0021, 0)</f>
        <v>58.019799999999996</v>
      </c>
      <c r="E608" s="4">
        <f>288.987204330269 * CHOOSE(CONTROL!$C$10, $C$13, 100%, $E$13) + CHOOSE(CONTROL!$C$29, 0.0021, 0)</f>
        <v>288.98930433026896</v>
      </c>
    </row>
    <row r="609" spans="1:5" ht="15">
      <c r="A609" s="13">
        <v>59687</v>
      </c>
      <c r="B609" s="4">
        <f>46.0085 * CHOOSE(CONTROL!$C$10, $C$13, 100%, $E$13) + CHOOSE(CONTROL!$C$29, 0.0272, 0)</f>
        <v>46.035699999999999</v>
      </c>
      <c r="C609" s="4">
        <f>45.6452 * CHOOSE(CONTROL!$C$10, $C$13, 100%, $E$13) + CHOOSE(CONTROL!$C$29, 0.0272, 0)</f>
        <v>45.672400000000003</v>
      </c>
      <c r="D609" s="4">
        <f>57.3884 * CHOOSE(CONTROL!$C$10, $C$13, 100%, $E$13) + CHOOSE(CONTROL!$C$29, 0.0021, 0)</f>
        <v>57.390499999999996</v>
      </c>
      <c r="E609" s="4">
        <f>295.907098317622 * CHOOSE(CONTROL!$C$10, $C$13, 100%, $E$13) + CHOOSE(CONTROL!$C$29, 0.0021, 0)</f>
        <v>295.90919831762199</v>
      </c>
    </row>
    <row r="610" spans="1:5" ht="15">
      <c r="A610" s="13">
        <v>59717</v>
      </c>
      <c r="B610" s="4">
        <f>46.1516 * CHOOSE(CONTROL!$C$10, $C$13, 100%, $E$13) + CHOOSE(CONTROL!$C$29, 0.0272, 0)</f>
        <v>46.178800000000003</v>
      </c>
      <c r="C610" s="4">
        <f>45.7883 * CHOOSE(CONTROL!$C$10, $C$13, 100%, $E$13) + CHOOSE(CONTROL!$C$29, 0.0272, 0)</f>
        <v>45.8155</v>
      </c>
      <c r="D610" s="4">
        <f>57.901 * CHOOSE(CONTROL!$C$10, $C$13, 100%, $E$13) + CHOOSE(CONTROL!$C$29, 0.0021, 0)</f>
        <v>57.903100000000002</v>
      </c>
      <c r="E610" s="4">
        <f>296.843388692261 * CHOOSE(CONTROL!$C$10, $C$13, 100%, $E$13) + CHOOSE(CONTROL!$C$29, 0.0021, 0)</f>
        <v>296.84548869226097</v>
      </c>
    </row>
    <row r="611" spans="1:5" ht="15">
      <c r="A611" s="13">
        <v>59748</v>
      </c>
      <c r="B611" s="4">
        <f>46.1372 * CHOOSE(CONTROL!$C$10, $C$13, 100%, $E$13) + CHOOSE(CONTROL!$C$29, 0.0272, 0)</f>
        <v>46.164400000000001</v>
      </c>
      <c r="C611" s="4">
        <f>45.7739 * CHOOSE(CONTROL!$C$10, $C$13, 100%, $E$13) + CHOOSE(CONTROL!$C$29, 0.0272, 0)</f>
        <v>45.801099999999998</v>
      </c>
      <c r="D611" s="4">
        <f>58.8258 * CHOOSE(CONTROL!$C$10, $C$13, 100%, $E$13) + CHOOSE(CONTROL!$C$29, 0.0021, 0)</f>
        <v>58.8279</v>
      </c>
      <c r="E611" s="4">
        <f>296.748972856163 * CHOOSE(CONTROL!$C$10, $C$13, 100%, $E$13) + CHOOSE(CONTROL!$C$29, 0.0021, 0)</f>
        <v>296.75107285616298</v>
      </c>
    </row>
    <row r="612" spans="1:5" ht="15">
      <c r="A612" s="13">
        <v>59779</v>
      </c>
      <c r="B612" s="4">
        <f>47.2233 * CHOOSE(CONTROL!$C$10, $C$13, 100%, $E$13) + CHOOSE(CONTROL!$C$29, 0.0272, 0)</f>
        <v>47.250500000000002</v>
      </c>
      <c r="C612" s="4">
        <f>46.86 * CHOOSE(CONTROL!$C$10, $C$13, 100%, $E$13) + CHOOSE(CONTROL!$C$29, 0.0272, 0)</f>
        <v>46.8872</v>
      </c>
      <c r="D612" s="4">
        <f>58.215 * CHOOSE(CONTROL!$C$10, $C$13, 100%, $E$13) + CHOOSE(CONTROL!$C$29, 0.0021, 0)</f>
        <v>58.217100000000002</v>
      </c>
      <c r="E612" s="4">
        <f>303.853764522541 * CHOOSE(CONTROL!$C$10, $C$13, 100%, $E$13) + CHOOSE(CONTROL!$C$29, 0.0021, 0)</f>
        <v>303.85586452254097</v>
      </c>
    </row>
    <row r="613" spans="1:5" ht="15">
      <c r="A613" s="13">
        <v>59809</v>
      </c>
      <c r="B613" s="4">
        <f>45.3722 * CHOOSE(CONTROL!$C$10, $C$13, 100%, $E$13) + CHOOSE(CONTROL!$C$29, 0.0272, 0)</f>
        <v>45.3994</v>
      </c>
      <c r="C613" s="4">
        <f>45.0089 * CHOOSE(CONTROL!$C$10, $C$13, 100%, $E$13) + CHOOSE(CONTROL!$C$29, 0.0272, 0)</f>
        <v>45.036099999999998</v>
      </c>
      <c r="D613" s="4">
        <f>57.9264 * CHOOSE(CONTROL!$C$10, $C$13, 100%, $E$13) + CHOOSE(CONTROL!$C$29, 0.0021, 0)</f>
        <v>57.9285</v>
      </c>
      <c r="E613" s="4">
        <f>291.744933542966 * CHOOSE(CONTROL!$C$10, $C$13, 100%, $E$13) + CHOOSE(CONTROL!$C$29, 0.0021, 0)</f>
        <v>291.74703354296599</v>
      </c>
    </row>
    <row r="614" spans="1:5" ht="15">
      <c r="A614" s="13">
        <v>59840</v>
      </c>
      <c r="B614" s="4">
        <f>43.8904 * CHOOSE(CONTROL!$C$10, $C$13, 100%, $E$13) + CHOOSE(CONTROL!$C$29, 0.0272, 0)</f>
        <v>43.9176</v>
      </c>
      <c r="C614" s="4">
        <f>43.5271 * CHOOSE(CONTROL!$C$10, $C$13, 100%, $E$13) + CHOOSE(CONTROL!$C$29, 0.0272, 0)</f>
        <v>43.554299999999998</v>
      </c>
      <c r="D614" s="4">
        <f>57.1538 * CHOOSE(CONTROL!$C$10, $C$13, 100%, $E$13) + CHOOSE(CONTROL!$C$29, 0.0021, 0)</f>
        <v>57.155899999999995</v>
      </c>
      <c r="E614" s="4">
        <f>282.051574370234 * CHOOSE(CONTROL!$C$10, $C$13, 100%, $E$13) + CHOOSE(CONTROL!$C$29, 0.0021, 0)</f>
        <v>282.05367437023398</v>
      </c>
    </row>
    <row r="615" spans="1:5" ht="15">
      <c r="A615" s="13">
        <v>59870</v>
      </c>
      <c r="B615" s="4">
        <f>42.936 * CHOOSE(CONTROL!$C$10, $C$13, 100%, $E$13) + CHOOSE(CONTROL!$C$29, 0.0272, 0)</f>
        <v>42.963200000000001</v>
      </c>
      <c r="C615" s="4">
        <f>42.5727 * CHOOSE(CONTROL!$C$10, $C$13, 100%, $E$13) + CHOOSE(CONTROL!$C$29, 0.0272, 0)</f>
        <v>42.599899999999998</v>
      </c>
      <c r="D615" s="4">
        <f>56.8882 * CHOOSE(CONTROL!$C$10, $C$13, 100%, $E$13) + CHOOSE(CONTROL!$C$29, 0.0021, 0)</f>
        <v>56.890299999999996</v>
      </c>
      <c r="E615" s="4">
        <f>275.80832720825 * CHOOSE(CONTROL!$C$10, $C$13, 100%, $E$13) + CHOOSE(CONTROL!$C$29, 0.0021, 0)</f>
        <v>275.81042720824996</v>
      </c>
    </row>
    <row r="616" spans="1:5" ht="15">
      <c r="A616" s="13">
        <v>59901</v>
      </c>
      <c r="B616" s="4">
        <f>42.2757 * CHOOSE(CONTROL!$C$10, $C$13, 100%, $E$13) + CHOOSE(CONTROL!$C$29, 0.0272, 0)</f>
        <v>42.302900000000001</v>
      </c>
      <c r="C616" s="4">
        <f>41.9124 * CHOOSE(CONTROL!$C$10, $C$13, 100%, $E$13) + CHOOSE(CONTROL!$C$29, 0.0272, 0)</f>
        <v>41.939599999999999</v>
      </c>
      <c r="D616" s="4">
        <f>54.9325 * CHOOSE(CONTROL!$C$10, $C$13, 100%, $E$13) + CHOOSE(CONTROL!$C$29, 0.0021, 0)</f>
        <v>54.934599999999996</v>
      </c>
      <c r="E616" s="4">
        <f>271.488802706764 * CHOOSE(CONTROL!$C$10, $C$13, 100%, $E$13) + CHOOSE(CONTROL!$C$29, 0.0021, 0)</f>
        <v>271.49090270676396</v>
      </c>
    </row>
    <row r="617" spans="1:5" ht="15">
      <c r="A617" s="13">
        <v>59932</v>
      </c>
      <c r="B617" s="4">
        <f>40.545 * CHOOSE(CONTROL!$C$10, $C$13, 100%, $E$13) + CHOOSE(CONTROL!$C$29, 0.0272, 0)</f>
        <v>40.572200000000002</v>
      </c>
      <c r="C617" s="4">
        <f>40.1817 * CHOOSE(CONTROL!$C$10, $C$13, 100%, $E$13) + CHOOSE(CONTROL!$C$29, 0.0272, 0)</f>
        <v>40.2089</v>
      </c>
      <c r="D617" s="4">
        <f>52.681 * CHOOSE(CONTROL!$C$10, $C$13, 100%, $E$13) + CHOOSE(CONTROL!$C$29, 0.0021, 0)</f>
        <v>52.683099999999996</v>
      </c>
      <c r="E617" s="4">
        <f>260.180190903679 * CHOOSE(CONTROL!$C$10, $C$13, 100%, $E$13) + CHOOSE(CONTROL!$C$29, 0.0021, 0)</f>
        <v>260.18229090367896</v>
      </c>
    </row>
    <row r="618" spans="1:5" ht="15">
      <c r="A618" s="13">
        <v>59961</v>
      </c>
      <c r="B618" s="4">
        <f>41.4893 * CHOOSE(CONTROL!$C$10, $C$13, 100%, $E$13) + CHOOSE(CONTROL!$C$29, 0.0272, 0)</f>
        <v>41.516500000000001</v>
      </c>
      <c r="C618" s="4">
        <f>41.126 * CHOOSE(CONTROL!$C$10, $C$13, 100%, $E$13) + CHOOSE(CONTROL!$C$29, 0.0272, 0)</f>
        <v>41.153199999999998</v>
      </c>
      <c r="D618" s="4">
        <f>54.475 * CHOOSE(CONTROL!$C$10, $C$13, 100%, $E$13) + CHOOSE(CONTROL!$C$29, 0.0021, 0)</f>
        <v>54.4771</v>
      </c>
      <c r="E618" s="4">
        <f>266.357893982303 * CHOOSE(CONTROL!$C$10, $C$13, 100%, $E$13) + CHOOSE(CONTROL!$C$29, 0.0021, 0)</f>
        <v>266.35999398230297</v>
      </c>
    </row>
    <row r="619" spans="1:5" ht="15">
      <c r="A619" s="13">
        <v>59992</v>
      </c>
      <c r="B619" s="4">
        <f>43.9692 * CHOOSE(CONTROL!$C$10, $C$13, 100%, $E$13) + CHOOSE(CONTROL!$C$29, 0.0272, 0)</f>
        <v>43.996400000000001</v>
      </c>
      <c r="C619" s="4">
        <f>43.6059 * CHOOSE(CONTROL!$C$10, $C$13, 100%, $E$13) + CHOOSE(CONTROL!$C$29, 0.0272, 0)</f>
        <v>43.633099999999999</v>
      </c>
      <c r="D619" s="4">
        <f>57.2833 * CHOOSE(CONTROL!$C$10, $C$13, 100%, $E$13) + CHOOSE(CONTROL!$C$29, 0.0021, 0)</f>
        <v>57.285399999999996</v>
      </c>
      <c r="E619" s="4">
        <f>282.58087056985 * CHOOSE(CONTROL!$C$10, $C$13, 100%, $E$13) + CHOOSE(CONTROL!$C$29, 0.0021, 0)</f>
        <v>282.58297056984998</v>
      </c>
    </row>
    <row r="620" spans="1:5" ht="15">
      <c r="A620" s="13">
        <v>60022</v>
      </c>
      <c r="B620" s="4">
        <f>45.7312 * CHOOSE(CONTROL!$C$10, $C$13, 100%, $E$13) + CHOOSE(CONTROL!$C$29, 0.0272, 0)</f>
        <v>45.758400000000002</v>
      </c>
      <c r="C620" s="4">
        <f>45.3679 * CHOOSE(CONTROL!$C$10, $C$13, 100%, $E$13) + CHOOSE(CONTROL!$C$29, 0.0272, 0)</f>
        <v>45.395099999999999</v>
      </c>
      <c r="D620" s="4">
        <f>58.9009 * CHOOSE(CONTROL!$C$10, $C$13, 100%, $E$13) + CHOOSE(CONTROL!$C$29, 0.0021, 0)</f>
        <v>58.902999999999999</v>
      </c>
      <c r="E620" s="4">
        <f>294.107511634891 * CHOOSE(CONTROL!$C$10, $C$13, 100%, $E$13) + CHOOSE(CONTROL!$C$29, 0.0021, 0)</f>
        <v>294.109611634891</v>
      </c>
    </row>
    <row r="621" spans="1:5" ht="15">
      <c r="A621" s="13">
        <v>60053</v>
      </c>
      <c r="B621" s="4">
        <f>46.8077 * CHOOSE(CONTROL!$C$10, $C$13, 100%, $E$13) + CHOOSE(CONTROL!$C$29, 0.0272, 0)</f>
        <v>46.834899999999998</v>
      </c>
      <c r="C621" s="4">
        <f>46.4444 * CHOOSE(CONTROL!$C$10, $C$13, 100%, $E$13) + CHOOSE(CONTROL!$C$29, 0.0272, 0)</f>
        <v>46.471600000000002</v>
      </c>
      <c r="D621" s="4">
        <f>58.2617 * CHOOSE(CONTROL!$C$10, $C$13, 100%, $E$13) + CHOOSE(CONTROL!$C$29, 0.0021, 0)</f>
        <v>58.263799999999996</v>
      </c>
      <c r="E621" s="4">
        <f>301.1500130706 * CHOOSE(CONTROL!$C$10, $C$13, 100%, $E$13) + CHOOSE(CONTROL!$C$29, 0.0021, 0)</f>
        <v>301.15211307059997</v>
      </c>
    </row>
    <row r="622" spans="1:5" ht="15">
      <c r="A622" s="13">
        <v>60083</v>
      </c>
      <c r="B622" s="4">
        <f>46.9534 * CHOOSE(CONTROL!$C$10, $C$13, 100%, $E$13) + CHOOSE(CONTROL!$C$29, 0.0272, 0)</f>
        <v>46.980600000000003</v>
      </c>
      <c r="C622" s="4">
        <f>46.5901 * CHOOSE(CONTROL!$C$10, $C$13, 100%, $E$13) + CHOOSE(CONTROL!$C$29, 0.0272, 0)</f>
        <v>46.6173</v>
      </c>
      <c r="D622" s="4">
        <f>58.7823 * CHOOSE(CONTROL!$C$10, $C$13, 100%, $E$13) + CHOOSE(CONTROL!$C$29, 0.0021, 0)</f>
        <v>58.784399999999998</v>
      </c>
      <c r="E622" s="4">
        <f>302.102892741833 * CHOOSE(CONTROL!$C$10, $C$13, 100%, $E$13) + CHOOSE(CONTROL!$C$29, 0.0021, 0)</f>
        <v>302.10499274183297</v>
      </c>
    </row>
    <row r="623" spans="1:5" ht="15">
      <c r="A623" s="13">
        <v>60114</v>
      </c>
      <c r="B623" s="4">
        <f>46.9387 * CHOOSE(CONTROL!$C$10, $C$13, 100%, $E$13) + CHOOSE(CONTROL!$C$29, 0.0272, 0)</f>
        <v>46.965899999999998</v>
      </c>
      <c r="C623" s="4">
        <f>46.5754 * CHOOSE(CONTROL!$C$10, $C$13, 100%, $E$13) + CHOOSE(CONTROL!$C$29, 0.0272, 0)</f>
        <v>46.602600000000002</v>
      </c>
      <c r="D623" s="4">
        <f>59.7217 * CHOOSE(CONTROL!$C$10, $C$13, 100%, $E$13) + CHOOSE(CONTROL!$C$29, 0.0021, 0)</f>
        <v>59.723799999999997</v>
      </c>
      <c r="E623" s="4">
        <f>302.00680403549 * CHOOSE(CONTROL!$C$10, $C$13, 100%, $E$13) + CHOOSE(CONTROL!$C$29, 0.0021, 0)</f>
        <v>302.00890403548999</v>
      </c>
    </row>
    <row r="624" spans="1:5" ht="15">
      <c r="A624" s="13">
        <v>60145</v>
      </c>
      <c r="B624" s="4">
        <f>48.044 * CHOOSE(CONTROL!$C$10, $C$13, 100%, $E$13) + CHOOSE(CONTROL!$C$29, 0.0272, 0)</f>
        <v>48.071199999999997</v>
      </c>
      <c r="C624" s="4">
        <f>47.6807 * CHOOSE(CONTROL!$C$10, $C$13, 100%, $E$13) + CHOOSE(CONTROL!$C$29, 0.0272, 0)</f>
        <v>47.707900000000002</v>
      </c>
      <c r="D624" s="4">
        <f>59.1013 * CHOOSE(CONTROL!$C$10, $C$13, 100%, $E$13) + CHOOSE(CONTROL!$C$29, 0.0021, 0)</f>
        <v>59.103400000000001</v>
      </c>
      <c r="E624" s="4">
        <f>309.237479187788 * CHOOSE(CONTROL!$C$10, $C$13, 100%, $E$13) + CHOOSE(CONTROL!$C$29, 0.0021, 0)</f>
        <v>309.23957918778797</v>
      </c>
    </row>
    <row r="625" spans="1:5" ht="15">
      <c r="A625" s="13">
        <v>60175</v>
      </c>
      <c r="B625" s="4">
        <f>46.1602 * CHOOSE(CONTROL!$C$10, $C$13, 100%, $E$13) + CHOOSE(CONTROL!$C$29, 0.0272, 0)</f>
        <v>46.187400000000004</v>
      </c>
      <c r="C625" s="4">
        <f>45.7969 * CHOOSE(CONTROL!$C$10, $C$13, 100%, $E$13) + CHOOSE(CONTROL!$C$29, 0.0272, 0)</f>
        <v>45.824100000000001</v>
      </c>
      <c r="D625" s="4">
        <f>58.8082 * CHOOSE(CONTROL!$C$10, $C$13, 100%, $E$13) + CHOOSE(CONTROL!$C$29, 0.0021, 0)</f>
        <v>58.810299999999998</v>
      </c>
      <c r="E625" s="4">
        <f>296.914102599321 * CHOOSE(CONTROL!$C$10, $C$13, 100%, $E$13) + CHOOSE(CONTROL!$C$29, 0.0021, 0)</f>
        <v>296.91620259932097</v>
      </c>
    </row>
    <row r="626" spans="1:5" ht="15">
      <c r="A626" s="13">
        <v>60206</v>
      </c>
      <c r="B626" s="4">
        <f>44.6522 * CHOOSE(CONTROL!$C$10, $C$13, 100%, $E$13) + CHOOSE(CONTROL!$C$29, 0.0272, 0)</f>
        <v>44.679400000000001</v>
      </c>
      <c r="C626" s="4">
        <f>44.2889 * CHOOSE(CONTROL!$C$10, $C$13, 100%, $E$13) + CHOOSE(CONTROL!$C$29, 0.0272, 0)</f>
        <v>44.316099999999999</v>
      </c>
      <c r="D626" s="4">
        <f>58.0234 * CHOOSE(CONTROL!$C$10, $C$13, 100%, $E$13) + CHOOSE(CONTROL!$C$29, 0.0021, 0)</f>
        <v>58.025500000000001</v>
      </c>
      <c r="E626" s="4">
        <f>287.048995414791 * CHOOSE(CONTROL!$C$10, $C$13, 100%, $E$13) + CHOOSE(CONTROL!$C$29, 0.0021, 0)</f>
        <v>287.05109541479101</v>
      </c>
    </row>
    <row r="627" spans="1:5" ht="15">
      <c r="A627" s="13">
        <v>60236</v>
      </c>
      <c r="B627" s="4">
        <f>43.6809 * CHOOSE(CONTROL!$C$10, $C$13, 100%, $E$13) + CHOOSE(CONTROL!$C$29, 0.0272, 0)</f>
        <v>43.708100000000002</v>
      </c>
      <c r="C627" s="4">
        <f>43.3177 * CHOOSE(CONTROL!$C$10, $C$13, 100%, $E$13) + CHOOSE(CONTROL!$C$29, 0.0272, 0)</f>
        <v>43.344900000000003</v>
      </c>
      <c r="D627" s="4">
        <f>57.7536 * CHOOSE(CONTROL!$C$10, $C$13, 100%, $E$13) + CHOOSE(CONTROL!$C$29, 0.0021, 0)</f>
        <v>57.755699999999997</v>
      </c>
      <c r="E627" s="4">
        <f>280.695129707872 * CHOOSE(CONTROL!$C$10, $C$13, 100%, $E$13) + CHOOSE(CONTROL!$C$29, 0.0021, 0)</f>
        <v>280.697229707872</v>
      </c>
    </row>
    <row r="628" spans="1:5" ht="15">
      <c r="A628" s="13">
        <v>60267</v>
      </c>
      <c r="B628" s="4">
        <f>43.0089 * CHOOSE(CONTROL!$C$10, $C$13, 100%, $E$13) + CHOOSE(CONTROL!$C$29, 0.0272, 0)</f>
        <v>43.036099999999998</v>
      </c>
      <c r="C628" s="4">
        <f>42.6457 * CHOOSE(CONTROL!$C$10, $C$13, 100%, $E$13) + CHOOSE(CONTROL!$C$29, 0.0272, 0)</f>
        <v>42.672899999999998</v>
      </c>
      <c r="D628" s="4">
        <f>55.7672 * CHOOSE(CONTROL!$C$10, $C$13, 100%, $E$13) + CHOOSE(CONTROL!$C$29, 0.0021, 0)</f>
        <v>55.769300000000001</v>
      </c>
      <c r="E628" s="4">
        <f>276.299071392688 * CHOOSE(CONTROL!$C$10, $C$13, 100%, $E$13) + CHOOSE(CONTROL!$C$29, 0.0021, 0)</f>
        <v>276.30117139268799</v>
      </c>
    </row>
    <row r="629" spans="1:5" ht="15">
      <c r="A629" s="13">
        <v>60298</v>
      </c>
      <c r="B629" s="4">
        <f>41.2477 * CHOOSE(CONTROL!$C$10, $C$13, 100%, $E$13) + CHOOSE(CONTROL!$C$29, 0.0272, 0)</f>
        <v>41.274900000000002</v>
      </c>
      <c r="C629" s="4">
        <f>40.8844 * CHOOSE(CONTROL!$C$10, $C$13, 100%, $E$13) + CHOOSE(CONTROL!$C$29, 0.0272, 0)</f>
        <v>40.9116</v>
      </c>
      <c r="D629" s="4">
        <f>53.4803 * CHOOSE(CONTROL!$C$10, $C$13, 100%, $E$13) + CHOOSE(CONTROL!$C$29, 0.0021, 0)</f>
        <v>53.482399999999998</v>
      </c>
      <c r="E629" s="4">
        <f>264.790092352739 * CHOOSE(CONTROL!$C$10, $C$13, 100%, $E$13) + CHOOSE(CONTROL!$C$29, 0.0021, 0)</f>
        <v>264.79219235273899</v>
      </c>
    </row>
    <row r="630" spans="1:5" ht="15">
      <c r="A630" s="13">
        <v>60326</v>
      </c>
      <c r="B630" s="4">
        <f>42.2087 * CHOOSE(CONTROL!$C$10, $C$13, 100%, $E$13) + CHOOSE(CONTROL!$C$29, 0.0272, 0)</f>
        <v>42.235900000000001</v>
      </c>
      <c r="C630" s="4">
        <f>41.8454 * CHOOSE(CONTROL!$C$10, $C$13, 100%, $E$13) + CHOOSE(CONTROL!$C$29, 0.0272, 0)</f>
        <v>41.872599999999998</v>
      </c>
      <c r="D630" s="4">
        <f>55.3025 * CHOOSE(CONTROL!$C$10, $C$13, 100%, $E$13) + CHOOSE(CONTROL!$C$29, 0.0021, 0)</f>
        <v>55.304600000000001</v>
      </c>
      <c r="E630" s="4">
        <f>271.077252658968 * CHOOSE(CONTROL!$C$10, $C$13, 100%, $E$13) + CHOOSE(CONTROL!$C$29, 0.0021, 0)</f>
        <v>271.07935265896799</v>
      </c>
    </row>
    <row r="631" spans="1:5" ht="15">
      <c r="A631" s="13">
        <v>60357</v>
      </c>
      <c r="B631" s="4">
        <f>44.7324 * CHOOSE(CONTROL!$C$10, $C$13, 100%, $E$13) + CHOOSE(CONTROL!$C$29, 0.0272, 0)</f>
        <v>44.759599999999999</v>
      </c>
      <c r="C631" s="4">
        <f>44.3691 * CHOOSE(CONTROL!$C$10, $C$13, 100%, $E$13) + CHOOSE(CONTROL!$C$29, 0.0272, 0)</f>
        <v>44.396300000000004</v>
      </c>
      <c r="D631" s="4">
        <f>58.1549 * CHOOSE(CONTROL!$C$10, $C$13, 100%, $E$13) + CHOOSE(CONTROL!$C$29, 0.0021, 0)</f>
        <v>58.156999999999996</v>
      </c>
      <c r="E631" s="4">
        <f>287.587669743115 * CHOOSE(CONTROL!$C$10, $C$13, 100%, $E$13) + CHOOSE(CONTROL!$C$29, 0.0021, 0)</f>
        <v>287.58976974311497</v>
      </c>
    </row>
    <row r="632" spans="1:5" ht="15">
      <c r="A632" s="13">
        <v>60387</v>
      </c>
      <c r="B632" s="4">
        <f>46.5255 * CHOOSE(CONTROL!$C$10, $C$13, 100%, $E$13) + CHOOSE(CONTROL!$C$29, 0.0272, 0)</f>
        <v>46.552700000000002</v>
      </c>
      <c r="C632" s="4">
        <f>46.1622 * CHOOSE(CONTROL!$C$10, $C$13, 100%, $E$13) + CHOOSE(CONTROL!$C$29, 0.0272, 0)</f>
        <v>46.189399999999999</v>
      </c>
      <c r="D632" s="4">
        <f>59.798 * CHOOSE(CONTROL!$C$10, $C$13, 100%, $E$13) + CHOOSE(CONTROL!$C$29, 0.0021, 0)</f>
        <v>59.8001</v>
      </c>
      <c r="E632" s="4">
        <f>299.318541111639 * CHOOSE(CONTROL!$C$10, $C$13, 100%, $E$13) + CHOOSE(CONTROL!$C$29, 0.0021, 0)</f>
        <v>299.32064111163896</v>
      </c>
    </row>
    <row r="633" spans="1:5" ht="15">
      <c r="A633" s="13">
        <v>60418</v>
      </c>
      <c r="B633" s="4">
        <f>47.621 * CHOOSE(CONTROL!$C$10, $C$13, 100%, $E$13) + CHOOSE(CONTROL!$C$29, 0.0272, 0)</f>
        <v>47.648200000000003</v>
      </c>
      <c r="C633" s="4">
        <f>47.2578 * CHOOSE(CONTROL!$C$10, $C$13, 100%, $E$13) + CHOOSE(CONTROL!$C$29, 0.0272, 0)</f>
        <v>47.285000000000004</v>
      </c>
      <c r="D633" s="4">
        <f>59.1488 * CHOOSE(CONTROL!$C$10, $C$13, 100%, $E$13) + CHOOSE(CONTROL!$C$29, 0.0021, 0)</f>
        <v>59.1509</v>
      </c>
      <c r="E633" s="4">
        <f>306.485822368059 * CHOOSE(CONTROL!$C$10, $C$13, 100%, $E$13) + CHOOSE(CONTROL!$C$29, 0.0021, 0)</f>
        <v>306.487922368059</v>
      </c>
    </row>
    <row r="634" spans="1:5" ht="15">
      <c r="A634" s="13">
        <v>60448</v>
      </c>
      <c r="B634" s="4">
        <f>47.7693 * CHOOSE(CONTROL!$C$10, $C$13, 100%, $E$13) + CHOOSE(CONTROL!$C$29, 0.0272, 0)</f>
        <v>47.796500000000002</v>
      </c>
      <c r="C634" s="4">
        <f>47.406 * CHOOSE(CONTROL!$C$10, $C$13, 100%, $E$13) + CHOOSE(CONTROL!$C$29, 0.0272, 0)</f>
        <v>47.433199999999999</v>
      </c>
      <c r="D634" s="4">
        <f>59.6775 * CHOOSE(CONTROL!$C$10, $C$13, 100%, $E$13) + CHOOSE(CONTROL!$C$29, 0.0021, 0)</f>
        <v>59.679600000000001</v>
      </c>
      <c r="E634" s="4">
        <f>307.455585266881 * CHOOSE(CONTROL!$C$10, $C$13, 100%, $E$13) + CHOOSE(CONTROL!$C$29, 0.0021, 0)</f>
        <v>307.45768526688096</v>
      </c>
    </row>
    <row r="635" spans="1:5" ht="15">
      <c r="A635" s="13">
        <v>60479</v>
      </c>
      <c r="B635" s="4">
        <f>47.7543 * CHOOSE(CONTROL!$C$10, $C$13, 100%, $E$13) + CHOOSE(CONTROL!$C$29, 0.0272, 0)</f>
        <v>47.781500000000001</v>
      </c>
      <c r="C635" s="4">
        <f>47.3911 * CHOOSE(CONTROL!$C$10, $C$13, 100%, $E$13) + CHOOSE(CONTROL!$C$29, 0.0272, 0)</f>
        <v>47.418300000000002</v>
      </c>
      <c r="D635" s="4">
        <f>60.6317 * CHOOSE(CONTROL!$C$10, $C$13, 100%, $E$13) + CHOOSE(CONTROL!$C$29, 0.0021, 0)</f>
        <v>60.633800000000001</v>
      </c>
      <c r="E635" s="4">
        <f>307.357794050193 * CHOOSE(CONTROL!$C$10, $C$13, 100%, $E$13) + CHOOSE(CONTROL!$C$29, 0.0021, 0)</f>
        <v>307.35989405019296</v>
      </c>
    </row>
    <row r="636" spans="1:5" ht="15">
      <c r="A636" s="13">
        <v>60510</v>
      </c>
      <c r="B636" s="4">
        <f>48.8792 * CHOOSE(CONTROL!$C$10, $C$13, 100%, $E$13) + CHOOSE(CONTROL!$C$29, 0.0272, 0)</f>
        <v>48.906399999999998</v>
      </c>
      <c r="C636" s="4">
        <f>48.5159 * CHOOSE(CONTROL!$C$10, $C$13, 100%, $E$13) + CHOOSE(CONTROL!$C$29, 0.0272, 0)</f>
        <v>48.543100000000003</v>
      </c>
      <c r="D636" s="4">
        <f>60.0016 * CHOOSE(CONTROL!$C$10, $C$13, 100%, $E$13) + CHOOSE(CONTROL!$C$29, 0.0021, 0)</f>
        <v>60.003700000000002</v>
      </c>
      <c r="E636" s="4">
        <f>314.716583105961 * CHOOSE(CONTROL!$C$10, $C$13, 100%, $E$13) + CHOOSE(CONTROL!$C$29, 0.0021, 0)</f>
        <v>314.71868310596096</v>
      </c>
    </row>
    <row r="637" spans="1:5" ht="15">
      <c r="A637" s="13">
        <v>60540</v>
      </c>
      <c r="B637" s="4">
        <f>46.9621 * CHOOSE(CONTROL!$C$10, $C$13, 100%, $E$13) + CHOOSE(CONTROL!$C$29, 0.0272, 0)</f>
        <v>46.9893</v>
      </c>
      <c r="C637" s="4">
        <f>46.5988 * CHOOSE(CONTROL!$C$10, $C$13, 100%, $E$13) + CHOOSE(CONTROL!$C$29, 0.0272, 0)</f>
        <v>46.625999999999998</v>
      </c>
      <c r="D637" s="4">
        <f>59.7039 * CHOOSE(CONTROL!$C$10, $C$13, 100%, $E$13) + CHOOSE(CONTROL!$C$29, 0.0021, 0)</f>
        <v>59.705999999999996</v>
      </c>
      <c r="E637" s="4">
        <f>302.174859565733 * CHOOSE(CONTROL!$C$10, $C$13, 100%, $E$13) + CHOOSE(CONTROL!$C$29, 0.0021, 0)</f>
        <v>302.176959565733</v>
      </c>
    </row>
    <row r="638" spans="1:5" ht="15">
      <c r="A638" s="13">
        <v>60571</v>
      </c>
      <c r="B638" s="4">
        <f>45.4275 * CHOOSE(CONTROL!$C$10, $C$13, 100%, $E$13) + CHOOSE(CONTROL!$C$29, 0.0272, 0)</f>
        <v>45.454700000000003</v>
      </c>
      <c r="C638" s="4">
        <f>45.0642 * CHOOSE(CONTROL!$C$10, $C$13, 100%, $E$13) + CHOOSE(CONTROL!$C$29, 0.0272, 0)</f>
        <v>45.0914</v>
      </c>
      <c r="D638" s="4">
        <f>58.9067 * CHOOSE(CONTROL!$C$10, $C$13, 100%, $E$13) + CHOOSE(CONTROL!$C$29, 0.0021, 0)</f>
        <v>58.908799999999999</v>
      </c>
      <c r="E638" s="4">
        <f>292.134961319104 * CHOOSE(CONTROL!$C$10, $C$13, 100%, $E$13) + CHOOSE(CONTROL!$C$29, 0.0021, 0)</f>
        <v>292.13706131910396</v>
      </c>
    </row>
    <row r="639" spans="1:5" ht="15">
      <c r="A639" s="13">
        <v>60601</v>
      </c>
      <c r="B639" s="4">
        <f>44.439 * CHOOSE(CONTROL!$C$10, $C$13, 100%, $E$13) + CHOOSE(CONTROL!$C$29, 0.0272, 0)</f>
        <v>44.466200000000001</v>
      </c>
      <c r="C639" s="4">
        <f>44.0758 * CHOOSE(CONTROL!$C$10, $C$13, 100%, $E$13) + CHOOSE(CONTROL!$C$29, 0.0272, 0)</f>
        <v>44.103000000000002</v>
      </c>
      <c r="D639" s="4">
        <f>58.6327 * CHOOSE(CONTROL!$C$10, $C$13, 100%, $E$13) + CHOOSE(CONTROL!$C$29, 0.0021, 0)</f>
        <v>58.634799999999998</v>
      </c>
      <c r="E639" s="4">
        <f>285.668517115614 * CHOOSE(CONTROL!$C$10, $C$13, 100%, $E$13) + CHOOSE(CONTROL!$C$29, 0.0021, 0)</f>
        <v>285.67061711561399</v>
      </c>
    </row>
    <row r="640" spans="1:5" ht="15">
      <c r="A640" s="13">
        <v>60632</v>
      </c>
      <c r="B640" s="4">
        <f>43.7552 * CHOOSE(CONTROL!$C$10, $C$13, 100%, $E$13) + CHOOSE(CONTROL!$C$29, 0.0272, 0)</f>
        <v>43.782400000000003</v>
      </c>
      <c r="C640" s="4">
        <f>43.3919 * CHOOSE(CONTROL!$C$10, $C$13, 100%, $E$13) + CHOOSE(CONTROL!$C$29, 0.0272, 0)</f>
        <v>43.4191</v>
      </c>
      <c r="D640" s="4">
        <f>56.615 * CHOOSE(CONTROL!$C$10, $C$13, 100%, $E$13) + CHOOSE(CONTROL!$C$29, 0.0021, 0)</f>
        <v>56.617100000000001</v>
      </c>
      <c r="E640" s="4">
        <f>281.194568952141 * CHOOSE(CONTROL!$C$10, $C$13, 100%, $E$13) + CHOOSE(CONTROL!$C$29, 0.0021, 0)</f>
        <v>281.19666895214101</v>
      </c>
    </row>
    <row r="641" spans="1:5" ht="15">
      <c r="A641" s="13">
        <v>60663</v>
      </c>
      <c r="B641" s="4">
        <f>41.9628 * CHOOSE(CONTROL!$C$10, $C$13, 100%, $E$13) + CHOOSE(CONTROL!$C$29, 0.0272, 0)</f>
        <v>41.99</v>
      </c>
      <c r="C641" s="4">
        <f>41.5995 * CHOOSE(CONTROL!$C$10, $C$13, 100%, $E$13) + CHOOSE(CONTROL!$C$29, 0.0272, 0)</f>
        <v>41.6267</v>
      </c>
      <c r="D641" s="4">
        <f>54.2921 * CHOOSE(CONTROL!$C$10, $C$13, 100%, $E$13) + CHOOSE(CONTROL!$C$29, 0.0021, 0)</f>
        <v>54.294199999999996</v>
      </c>
      <c r="E641" s="4">
        <f>269.481672546427 * CHOOSE(CONTROL!$C$10, $C$13, 100%, $E$13) + CHOOSE(CONTROL!$C$29, 0.0021, 0)</f>
        <v>269.48377254642696</v>
      </c>
    </row>
    <row r="642" spans="1:5" ht="15">
      <c r="A642" s="13">
        <v>60691</v>
      </c>
      <c r="B642" s="4">
        <f>42.9408 * CHOOSE(CONTROL!$C$10, $C$13, 100%, $E$13) + CHOOSE(CONTROL!$C$29, 0.0272, 0)</f>
        <v>42.968000000000004</v>
      </c>
      <c r="C642" s="4">
        <f>42.5775 * CHOOSE(CONTROL!$C$10, $C$13, 100%, $E$13) + CHOOSE(CONTROL!$C$29, 0.0272, 0)</f>
        <v>42.604700000000001</v>
      </c>
      <c r="D642" s="4">
        <f>56.143 * CHOOSE(CONTROL!$C$10, $C$13, 100%, $E$13) + CHOOSE(CONTROL!$C$29, 0.0021, 0)</f>
        <v>56.145099999999999</v>
      </c>
      <c r="E642" s="4">
        <f>275.880229455547 * CHOOSE(CONTROL!$C$10, $C$13, 100%, $E$13) + CHOOSE(CONTROL!$C$29, 0.0021, 0)</f>
        <v>275.88232945554699</v>
      </c>
    </row>
    <row r="643" spans="1:5" ht="15">
      <c r="A643" s="13">
        <v>60722</v>
      </c>
      <c r="B643" s="4">
        <f>45.5091 * CHOOSE(CONTROL!$C$10, $C$13, 100%, $E$13) + CHOOSE(CONTROL!$C$29, 0.0272, 0)</f>
        <v>45.536299999999997</v>
      </c>
      <c r="C643" s="4">
        <f>45.1458 * CHOOSE(CONTROL!$C$10, $C$13, 100%, $E$13) + CHOOSE(CONTROL!$C$29, 0.0272, 0)</f>
        <v>45.173000000000002</v>
      </c>
      <c r="D643" s="4">
        <f>59.0403 * CHOOSE(CONTROL!$C$10, $C$13, 100%, $E$13) + CHOOSE(CONTROL!$C$29, 0.0021, 0)</f>
        <v>59.042400000000001</v>
      </c>
      <c r="E643" s="4">
        <f>292.68317993886 * CHOOSE(CONTROL!$C$10, $C$13, 100%, $E$13) + CHOOSE(CONTROL!$C$29, 0.0021, 0)</f>
        <v>292.68527993885999</v>
      </c>
    </row>
    <row r="644" spans="1:5" ht="15">
      <c r="A644" s="13">
        <v>60752</v>
      </c>
      <c r="B644" s="4">
        <f>47.3339 * CHOOSE(CONTROL!$C$10, $C$13, 100%, $E$13) + CHOOSE(CONTROL!$C$29, 0.0272, 0)</f>
        <v>47.3611</v>
      </c>
      <c r="C644" s="4">
        <f>46.9706 * CHOOSE(CONTROL!$C$10, $C$13, 100%, $E$13) + CHOOSE(CONTROL!$C$29, 0.0272, 0)</f>
        <v>46.997799999999998</v>
      </c>
      <c r="D644" s="4">
        <f>60.7092 * CHOOSE(CONTROL!$C$10, $C$13, 100%, $E$13) + CHOOSE(CONTROL!$C$29, 0.0021, 0)</f>
        <v>60.711300000000001</v>
      </c>
      <c r="E644" s="4">
        <f>304.621900186012 * CHOOSE(CONTROL!$C$10, $C$13, 100%, $E$13) + CHOOSE(CONTROL!$C$29, 0.0021, 0)</f>
        <v>304.62400018601198</v>
      </c>
    </row>
    <row r="645" spans="1:5" ht="15">
      <c r="A645" s="13">
        <v>60783</v>
      </c>
      <c r="B645" s="4">
        <f>48.4488 * CHOOSE(CONTROL!$C$10, $C$13, 100%, $E$13) + CHOOSE(CONTROL!$C$29, 0.0272, 0)</f>
        <v>48.475999999999999</v>
      </c>
      <c r="C645" s="4">
        <f>48.0855 * CHOOSE(CONTROL!$C$10, $C$13, 100%, $E$13) + CHOOSE(CONTROL!$C$29, 0.0272, 0)</f>
        <v>48.112700000000004</v>
      </c>
      <c r="D645" s="4">
        <f>60.0498 * CHOOSE(CONTROL!$C$10, $C$13, 100%, $E$13) + CHOOSE(CONTROL!$C$29, 0.0021, 0)</f>
        <v>60.051899999999996</v>
      </c>
      <c r="E645" s="4">
        <f>311.916172125831 * CHOOSE(CONTROL!$C$10, $C$13, 100%, $E$13) + CHOOSE(CONTROL!$C$29, 0.0021, 0)</f>
        <v>311.91827212583098</v>
      </c>
    </row>
    <row r="646" spans="1:5" ht="15">
      <c r="A646" s="13">
        <v>60813</v>
      </c>
      <c r="B646" s="4">
        <f>48.5996 * CHOOSE(CONTROL!$C$10, $C$13, 100%, $E$13) + CHOOSE(CONTROL!$C$29, 0.0272, 0)</f>
        <v>48.626800000000003</v>
      </c>
      <c r="C646" s="4">
        <f>48.2363 * CHOOSE(CONTROL!$C$10, $C$13, 100%, $E$13) + CHOOSE(CONTROL!$C$29, 0.0272, 0)</f>
        <v>48.263500000000001</v>
      </c>
      <c r="D646" s="4">
        <f>60.5869 * CHOOSE(CONTROL!$C$10, $C$13, 100%, $E$13) + CHOOSE(CONTROL!$C$29, 0.0021, 0)</f>
        <v>60.588999999999999</v>
      </c>
      <c r="E646" s="4">
        <f>312.903117391139 * CHOOSE(CONTROL!$C$10, $C$13, 100%, $E$13) + CHOOSE(CONTROL!$C$29, 0.0021, 0)</f>
        <v>312.90521739113899</v>
      </c>
    </row>
    <row r="647" spans="1:5" ht="15">
      <c r="A647" s="13">
        <v>60844</v>
      </c>
      <c r="B647" s="4">
        <f>48.5844 * CHOOSE(CONTROL!$C$10, $C$13, 100%, $E$13) + CHOOSE(CONTROL!$C$29, 0.0272, 0)</f>
        <v>48.611600000000003</v>
      </c>
      <c r="C647" s="4">
        <f>48.2211 * CHOOSE(CONTROL!$C$10, $C$13, 100%, $E$13) + CHOOSE(CONTROL!$C$29, 0.0272, 0)</f>
        <v>48.2483</v>
      </c>
      <c r="D647" s="4">
        <f>61.556 * CHOOSE(CONTROL!$C$10, $C$13, 100%, $E$13) + CHOOSE(CONTROL!$C$29, 0.0021, 0)</f>
        <v>61.558099999999996</v>
      </c>
      <c r="E647" s="4">
        <f>312.803593498839 * CHOOSE(CONTROL!$C$10, $C$13, 100%, $E$13) + CHOOSE(CONTROL!$C$29, 0.0021, 0)</f>
        <v>312.80569349883899</v>
      </c>
    </row>
    <row r="648" spans="1:5" ht="15">
      <c r="A648" s="13">
        <v>60875</v>
      </c>
      <c r="B648" s="4">
        <f>49.7291 * CHOOSE(CONTROL!$C$10, $C$13, 100%, $E$13) + CHOOSE(CONTROL!$C$29, 0.0272, 0)</f>
        <v>49.756300000000003</v>
      </c>
      <c r="C648" s="4">
        <f>49.3658 * CHOOSE(CONTROL!$C$10, $C$13, 100%, $E$13) + CHOOSE(CONTROL!$C$29, 0.0272, 0)</f>
        <v>49.393000000000001</v>
      </c>
      <c r="D648" s="4">
        <f>60.916 * CHOOSE(CONTROL!$C$10, $C$13, 100%, $E$13) + CHOOSE(CONTROL!$C$29, 0.0021, 0)</f>
        <v>60.918099999999995</v>
      </c>
      <c r="E648" s="4">
        <f>320.292766394413 * CHOOSE(CONTROL!$C$10, $C$13, 100%, $E$13) + CHOOSE(CONTROL!$C$29, 0.0021, 0)</f>
        <v>320.29486639441296</v>
      </c>
    </row>
    <row r="649" spans="1:5" ht="15">
      <c r="A649" s="13">
        <v>60905</v>
      </c>
      <c r="B649" s="4">
        <f>47.7782 * CHOOSE(CONTROL!$C$10, $C$13, 100%, $E$13) + CHOOSE(CONTROL!$C$29, 0.0272, 0)</f>
        <v>47.805399999999999</v>
      </c>
      <c r="C649" s="4">
        <f>47.4149 * CHOOSE(CONTROL!$C$10, $C$13, 100%, $E$13) + CHOOSE(CONTROL!$C$29, 0.0272, 0)</f>
        <v>47.442100000000003</v>
      </c>
      <c r="D649" s="4">
        <f>60.6136 * CHOOSE(CONTROL!$C$10, $C$13, 100%, $E$13) + CHOOSE(CONTROL!$C$29, 0.0021, 0)</f>
        <v>60.615699999999997</v>
      </c>
      <c r="E649" s="4">
        <f>307.528827206941 * CHOOSE(CONTROL!$C$10, $C$13, 100%, $E$13) + CHOOSE(CONTROL!$C$29, 0.0021, 0)</f>
        <v>307.53092720694099</v>
      </c>
    </row>
    <row r="650" spans="1:5" ht="15">
      <c r="A650" s="13">
        <v>60936</v>
      </c>
      <c r="B650" s="4">
        <f>46.2164 * CHOOSE(CONTROL!$C$10, $C$13, 100%, $E$13) + CHOOSE(CONTROL!$C$29, 0.0272, 0)</f>
        <v>46.243600000000001</v>
      </c>
      <c r="C650" s="4">
        <f>45.8531 * CHOOSE(CONTROL!$C$10, $C$13, 100%, $E$13) + CHOOSE(CONTROL!$C$29, 0.0272, 0)</f>
        <v>45.880299999999998</v>
      </c>
      <c r="D650" s="4">
        <f>59.8039 * CHOOSE(CONTROL!$C$10, $C$13, 100%, $E$13) + CHOOSE(CONTROL!$C$29, 0.0021, 0)</f>
        <v>59.805999999999997</v>
      </c>
      <c r="E650" s="4">
        <f>297.311040930809 * CHOOSE(CONTROL!$C$10, $C$13, 100%, $E$13) + CHOOSE(CONTROL!$C$29, 0.0021, 0)</f>
        <v>297.31314093080897</v>
      </c>
    </row>
    <row r="651" spans="1:5" ht="15">
      <c r="A651" s="13">
        <v>60966</v>
      </c>
      <c r="B651" s="4">
        <f>45.2105 * CHOOSE(CONTROL!$C$10, $C$13, 100%, $E$13) + CHOOSE(CONTROL!$C$29, 0.0272, 0)</f>
        <v>45.237700000000004</v>
      </c>
      <c r="C651" s="4">
        <f>44.8473 * CHOOSE(CONTROL!$C$10, $C$13, 100%, $E$13) + CHOOSE(CONTROL!$C$29, 0.0272, 0)</f>
        <v>44.874499999999998</v>
      </c>
      <c r="D651" s="4">
        <f>59.5255 * CHOOSE(CONTROL!$C$10, $C$13, 100%, $E$13) + CHOOSE(CONTROL!$C$29, 0.0021, 0)</f>
        <v>59.5276</v>
      </c>
      <c r="E651" s="4">
        <f>290.730023552473 * CHOOSE(CONTROL!$C$10, $C$13, 100%, $E$13) + CHOOSE(CONTROL!$C$29, 0.0021, 0)</f>
        <v>290.73212355247301</v>
      </c>
    </row>
    <row r="652" spans="1:5" ht="15">
      <c r="A652" s="13">
        <v>60997</v>
      </c>
      <c r="B652" s="4">
        <f>44.5146 * CHOOSE(CONTROL!$C$10, $C$13, 100%, $E$13) + CHOOSE(CONTROL!$C$29, 0.0272, 0)</f>
        <v>44.541800000000002</v>
      </c>
      <c r="C652" s="4">
        <f>44.1513 * CHOOSE(CONTROL!$C$10, $C$13, 100%, $E$13) + CHOOSE(CONTROL!$C$29, 0.0272, 0)</f>
        <v>44.1785</v>
      </c>
      <c r="D652" s="4">
        <f>57.4762 * CHOOSE(CONTROL!$C$10, $C$13, 100%, $E$13) + CHOOSE(CONTROL!$C$29, 0.0021, 0)</f>
        <v>57.478299999999997</v>
      </c>
      <c r="E652" s="4">
        <f>286.176805479749 * CHOOSE(CONTROL!$C$10, $C$13, 100%, $E$13) + CHOOSE(CONTROL!$C$29, 0.0021, 0)</f>
        <v>286.17890547974901</v>
      </c>
    </row>
    <row r="653" spans="1:5" ht="15">
      <c r="A653" s="13">
        <v>61028</v>
      </c>
      <c r="B653" s="4">
        <f>42.6905 * CHOOSE(CONTROL!$C$10, $C$13, 100%, $E$13) + CHOOSE(CONTROL!$C$29, 0.0272, 0)</f>
        <v>42.717700000000001</v>
      </c>
      <c r="C653" s="4">
        <f>42.3273 * CHOOSE(CONTROL!$C$10, $C$13, 100%, $E$13) + CHOOSE(CONTROL!$C$29, 0.0272, 0)</f>
        <v>42.354500000000002</v>
      </c>
      <c r="D653" s="4">
        <f>55.1168 * CHOOSE(CONTROL!$C$10, $C$13, 100%, $E$13) + CHOOSE(CONTROL!$C$29, 0.0021, 0)</f>
        <v>55.118899999999996</v>
      </c>
      <c r="E653" s="4">
        <f>274.25637867779 * CHOOSE(CONTROL!$C$10, $C$13, 100%, $E$13) + CHOOSE(CONTROL!$C$29, 0.0021, 0)</f>
        <v>274.25847867778998</v>
      </c>
    </row>
    <row r="654" spans="1:5" ht="15">
      <c r="A654" s="13">
        <v>61056</v>
      </c>
      <c r="B654" s="4">
        <f>43.6858 * CHOOSE(CONTROL!$C$10, $C$13, 100%, $E$13) + CHOOSE(CONTROL!$C$29, 0.0272, 0)</f>
        <v>43.713000000000001</v>
      </c>
      <c r="C654" s="4">
        <f>43.3225 * CHOOSE(CONTROL!$C$10, $C$13, 100%, $E$13) + CHOOSE(CONTROL!$C$29, 0.0272, 0)</f>
        <v>43.349699999999999</v>
      </c>
      <c r="D654" s="4">
        <f>56.9967 * CHOOSE(CONTROL!$C$10, $C$13, 100%, $E$13) + CHOOSE(CONTROL!$C$29, 0.0021, 0)</f>
        <v>56.998799999999996</v>
      </c>
      <c r="E654" s="4">
        <f>280.768305927152 * CHOOSE(CONTROL!$C$10, $C$13, 100%, $E$13) + CHOOSE(CONTROL!$C$29, 0.0021, 0)</f>
        <v>280.77040592715201</v>
      </c>
    </row>
    <row r="655" spans="1:5" ht="15">
      <c r="A655" s="13">
        <v>61087</v>
      </c>
      <c r="B655" s="4">
        <f>46.2995 * CHOOSE(CONTROL!$C$10, $C$13, 100%, $E$13) + CHOOSE(CONTROL!$C$29, 0.0272, 0)</f>
        <v>46.326700000000002</v>
      </c>
      <c r="C655" s="4">
        <f>45.9362 * CHOOSE(CONTROL!$C$10, $C$13, 100%, $E$13) + CHOOSE(CONTROL!$C$29, 0.0272, 0)</f>
        <v>45.9634</v>
      </c>
      <c r="D655" s="4">
        <f>59.9396 * CHOOSE(CONTROL!$C$10, $C$13, 100%, $E$13) + CHOOSE(CONTROL!$C$29, 0.0021, 0)</f>
        <v>59.941699999999997</v>
      </c>
      <c r="E655" s="4">
        <f>297.86897294881 * CHOOSE(CONTROL!$C$10, $C$13, 100%, $E$13) + CHOOSE(CONTROL!$C$29, 0.0021, 0)</f>
        <v>297.87107294880997</v>
      </c>
    </row>
    <row r="656" spans="1:5" ht="15">
      <c r="A656" s="13">
        <v>61117</v>
      </c>
      <c r="B656" s="4">
        <f>48.1565 * CHOOSE(CONTROL!$C$10, $C$13, 100%, $E$13) + CHOOSE(CONTROL!$C$29, 0.0272, 0)</f>
        <v>48.183700000000002</v>
      </c>
      <c r="C656" s="4">
        <f>47.7932 * CHOOSE(CONTROL!$C$10, $C$13, 100%, $E$13) + CHOOSE(CONTROL!$C$29, 0.0272, 0)</f>
        <v>47.820399999999999</v>
      </c>
      <c r="D656" s="4">
        <f>61.6348 * CHOOSE(CONTROL!$C$10, $C$13, 100%, $E$13) + CHOOSE(CONTROL!$C$29, 0.0021, 0)</f>
        <v>61.636899999999997</v>
      </c>
      <c r="E656" s="4">
        <f>310.019224764049 * CHOOSE(CONTROL!$C$10, $C$13, 100%, $E$13) + CHOOSE(CONTROL!$C$29, 0.0021, 0)</f>
        <v>310.02132476404898</v>
      </c>
    </row>
    <row r="657" spans="1:5" ht="15">
      <c r="A657" s="13">
        <v>61148</v>
      </c>
      <c r="B657" s="4">
        <f>49.2911 * CHOOSE(CONTROL!$C$10, $C$13, 100%, $E$13) + CHOOSE(CONTROL!$C$29, 0.0272, 0)</f>
        <v>49.318300000000001</v>
      </c>
      <c r="C657" s="4">
        <f>48.9278 * CHOOSE(CONTROL!$C$10, $C$13, 100%, $E$13) + CHOOSE(CONTROL!$C$29, 0.0272, 0)</f>
        <v>48.954999999999998</v>
      </c>
      <c r="D657" s="4">
        <f>60.9649 * CHOOSE(CONTROL!$C$10, $C$13, 100%, $E$13) + CHOOSE(CONTROL!$C$29, 0.0021, 0)</f>
        <v>60.966999999999999</v>
      </c>
      <c r="E657" s="4">
        <f>317.442737422266 * CHOOSE(CONTROL!$C$10, $C$13, 100%, $E$13) + CHOOSE(CONTROL!$C$29, 0.0021, 0)</f>
        <v>317.444837422266</v>
      </c>
    </row>
    <row r="658" spans="1:5" ht="15">
      <c r="A658" s="13">
        <v>61178</v>
      </c>
      <c r="B658" s="4">
        <f>49.4446 * CHOOSE(CONTROL!$C$10, $C$13, 100%, $E$13) + CHOOSE(CONTROL!$C$29, 0.0272, 0)</f>
        <v>49.471800000000002</v>
      </c>
      <c r="C658" s="4">
        <f>49.0813 * CHOOSE(CONTROL!$C$10, $C$13, 100%, $E$13) + CHOOSE(CONTROL!$C$29, 0.0272, 0)</f>
        <v>49.108499999999999</v>
      </c>
      <c r="D658" s="4">
        <f>61.5105 * CHOOSE(CONTROL!$C$10, $C$13, 100%, $E$13) + CHOOSE(CONTROL!$C$29, 0.0021, 0)</f>
        <v>61.512599999999999</v>
      </c>
      <c r="E658" s="4">
        <f>318.447169493134 * CHOOSE(CONTROL!$C$10, $C$13, 100%, $E$13) + CHOOSE(CONTROL!$C$29, 0.0021, 0)</f>
        <v>318.44926949313401</v>
      </c>
    </row>
    <row r="659" spans="1:5" ht="15">
      <c r="A659" s="13">
        <v>61209</v>
      </c>
      <c r="B659" s="4">
        <f>49.4291 * CHOOSE(CONTROL!$C$10, $C$13, 100%, $E$13) + CHOOSE(CONTROL!$C$29, 0.0272, 0)</f>
        <v>49.456299999999999</v>
      </c>
      <c r="C659" s="4">
        <f>49.0659 * CHOOSE(CONTROL!$C$10, $C$13, 100%, $E$13) + CHOOSE(CONTROL!$C$29, 0.0272, 0)</f>
        <v>49.0931</v>
      </c>
      <c r="D659" s="4">
        <f>62.4948 * CHOOSE(CONTROL!$C$10, $C$13, 100%, $E$13) + CHOOSE(CONTROL!$C$29, 0.0021, 0)</f>
        <v>62.496899999999997</v>
      </c>
      <c r="E659" s="4">
        <f>318.345882225483 * CHOOSE(CONTROL!$C$10, $C$13, 100%, $E$13) + CHOOSE(CONTROL!$C$29, 0.0021, 0)</f>
        <v>318.34798222548301</v>
      </c>
    </row>
    <row r="660" spans="1:5" ht="15">
      <c r="A660" s="13">
        <v>61240</v>
      </c>
      <c r="B660" s="4">
        <f>50.5941 * CHOOSE(CONTROL!$C$10, $C$13, 100%, $E$13) + CHOOSE(CONTROL!$C$29, 0.0272, 0)</f>
        <v>50.621299999999998</v>
      </c>
      <c r="C660" s="4">
        <f>50.2308 * CHOOSE(CONTROL!$C$10, $C$13, 100%, $E$13) + CHOOSE(CONTROL!$C$29, 0.0272, 0)</f>
        <v>50.258000000000003</v>
      </c>
      <c r="D660" s="4">
        <f>61.8447 * CHOOSE(CONTROL!$C$10, $C$13, 100%, $E$13) + CHOOSE(CONTROL!$C$29, 0.0021, 0)</f>
        <v>61.846800000000002</v>
      </c>
      <c r="E660" s="4">
        <f>325.967749116182 * CHOOSE(CONTROL!$C$10, $C$13, 100%, $E$13) + CHOOSE(CONTROL!$C$29, 0.0021, 0)</f>
        <v>325.96984911618199</v>
      </c>
    </row>
    <row r="661" spans="1:5" ht="15">
      <c r="A661" s="13">
        <v>61270</v>
      </c>
      <c r="B661" s="4">
        <f>48.6087 * CHOOSE(CONTROL!$C$10, $C$13, 100%, $E$13) + CHOOSE(CONTROL!$C$29, 0.0272, 0)</f>
        <v>48.635899999999999</v>
      </c>
      <c r="C661" s="4">
        <f>48.2454 * CHOOSE(CONTROL!$C$10, $C$13, 100%, $E$13) + CHOOSE(CONTROL!$C$29, 0.0272, 0)</f>
        <v>48.272599999999997</v>
      </c>
      <c r="D661" s="4">
        <f>61.5376 * CHOOSE(CONTROL!$C$10, $C$13, 100%, $E$13) + CHOOSE(CONTROL!$C$29, 0.0021, 0)</f>
        <v>61.539699999999996</v>
      </c>
      <c r="E661" s="4">
        <f>312.977657040007 * CHOOSE(CONTROL!$C$10, $C$13, 100%, $E$13) + CHOOSE(CONTROL!$C$29, 0.0021, 0)</f>
        <v>312.97975704000697</v>
      </c>
    </row>
    <row r="662" spans="1:5" ht="15">
      <c r="A662" s="13">
        <v>61301</v>
      </c>
      <c r="B662" s="4">
        <f>47.0193 * CHOOSE(CONTROL!$C$10, $C$13, 100%, $E$13) + CHOOSE(CONTROL!$C$29, 0.0272, 0)</f>
        <v>47.046500000000002</v>
      </c>
      <c r="C662" s="4">
        <f>46.656 * CHOOSE(CONTROL!$C$10, $C$13, 100%, $E$13) + CHOOSE(CONTROL!$C$29, 0.0272, 0)</f>
        <v>46.683199999999999</v>
      </c>
      <c r="D662" s="4">
        <f>60.7152 * CHOOSE(CONTROL!$C$10, $C$13, 100%, $E$13) + CHOOSE(CONTROL!$C$29, 0.0021, 0)</f>
        <v>60.717300000000002</v>
      </c>
      <c r="E662" s="4">
        <f>302.578830894557 * CHOOSE(CONTROL!$C$10, $C$13, 100%, $E$13) + CHOOSE(CONTROL!$C$29, 0.0021, 0)</f>
        <v>302.58093089455696</v>
      </c>
    </row>
    <row r="663" spans="1:5" ht="15">
      <c r="A663" s="13">
        <v>61331</v>
      </c>
      <c r="B663" s="4">
        <f>45.9957 * CHOOSE(CONTROL!$C$10, $C$13, 100%, $E$13) + CHOOSE(CONTROL!$C$29, 0.0272, 0)</f>
        <v>46.0229</v>
      </c>
      <c r="C663" s="4">
        <f>45.6324 * CHOOSE(CONTROL!$C$10, $C$13, 100%, $E$13) + CHOOSE(CONTROL!$C$29, 0.0272, 0)</f>
        <v>45.659599999999998</v>
      </c>
      <c r="D663" s="4">
        <f>60.4325 * CHOOSE(CONTROL!$C$10, $C$13, 100%, $E$13) + CHOOSE(CONTROL!$C$29, 0.0021, 0)</f>
        <v>60.434599999999996</v>
      </c>
      <c r="E663" s="4">
        <f>295.881210321169 * CHOOSE(CONTROL!$C$10, $C$13, 100%, $E$13) + CHOOSE(CONTROL!$C$29, 0.0021, 0)</f>
        <v>295.88331032116901</v>
      </c>
    </row>
    <row r="664" spans="1:5" ht="15">
      <c r="A664" s="13">
        <v>61362</v>
      </c>
      <c r="B664" s="4">
        <f>45.2874 * CHOOSE(CONTROL!$C$10, $C$13, 100%, $E$13) + CHOOSE(CONTROL!$C$29, 0.0272, 0)</f>
        <v>45.314599999999999</v>
      </c>
      <c r="C664" s="4">
        <f>44.9241 * CHOOSE(CONTROL!$C$10, $C$13, 100%, $E$13) + CHOOSE(CONTROL!$C$29, 0.0272, 0)</f>
        <v>44.951300000000003</v>
      </c>
      <c r="D664" s="4">
        <f>58.3509 * CHOOSE(CONTROL!$C$10, $C$13, 100%, $E$13) + CHOOSE(CONTROL!$C$29, 0.0021, 0)</f>
        <v>58.353000000000002</v>
      </c>
      <c r="E664" s="4">
        <f>291.247317826159 * CHOOSE(CONTROL!$C$10, $C$13, 100%, $E$13) + CHOOSE(CONTROL!$C$29, 0.0021, 0)</f>
        <v>291.249417826159</v>
      </c>
    </row>
    <row r="665" spans="1:5" ht="15">
      <c r="A665" s="13">
        <v>61393</v>
      </c>
      <c r="B665" s="4">
        <f>43.4311 * CHOOSE(CONTROL!$C$10, $C$13, 100%, $E$13) + CHOOSE(CONTROL!$C$29, 0.0272, 0)</f>
        <v>43.458300000000001</v>
      </c>
      <c r="C665" s="4">
        <f>43.0679 * CHOOSE(CONTROL!$C$10, $C$13, 100%, $E$13) + CHOOSE(CONTROL!$C$29, 0.0272, 0)</f>
        <v>43.095100000000002</v>
      </c>
      <c r="D665" s="4">
        <f>55.9543 * CHOOSE(CONTROL!$C$10, $C$13, 100%, $E$13) + CHOOSE(CONTROL!$C$29, 0.0021, 0)</f>
        <v>55.956400000000002</v>
      </c>
      <c r="E665" s="4">
        <f>279.115683581401 * CHOOSE(CONTROL!$C$10, $C$13, 100%, $E$13) + CHOOSE(CONTROL!$C$29, 0.0021, 0)</f>
        <v>279.117783581401</v>
      </c>
    </row>
    <row r="666" spans="1:5" ht="15">
      <c r="A666" s="13">
        <v>61422</v>
      </c>
      <c r="B666" s="4">
        <f>44.444 * CHOOSE(CONTROL!$C$10, $C$13, 100%, $E$13) + CHOOSE(CONTROL!$C$29, 0.0272, 0)</f>
        <v>44.471200000000003</v>
      </c>
      <c r="C666" s="4">
        <f>44.0807 * CHOOSE(CONTROL!$C$10, $C$13, 100%, $E$13) + CHOOSE(CONTROL!$C$29, 0.0272, 0)</f>
        <v>44.107900000000001</v>
      </c>
      <c r="D666" s="4">
        <f>57.8638 * CHOOSE(CONTROL!$C$10, $C$13, 100%, $E$13) + CHOOSE(CONTROL!$C$29, 0.0021, 0)</f>
        <v>57.865899999999996</v>
      </c>
      <c r="E666" s="4">
        <f>285.742989879256 * CHOOSE(CONTROL!$C$10, $C$13, 100%, $E$13) + CHOOSE(CONTROL!$C$29, 0.0021, 0)</f>
        <v>285.745089879256</v>
      </c>
    </row>
    <row r="667" spans="1:5" ht="15">
      <c r="A667" s="13">
        <v>61453</v>
      </c>
      <c r="B667" s="4">
        <f>47.1038 * CHOOSE(CONTROL!$C$10, $C$13, 100%, $E$13) + CHOOSE(CONTROL!$C$29, 0.0272, 0)</f>
        <v>47.131</v>
      </c>
      <c r="C667" s="4">
        <f>46.7406 * CHOOSE(CONTROL!$C$10, $C$13, 100%, $E$13) + CHOOSE(CONTROL!$C$29, 0.0272, 0)</f>
        <v>46.767800000000001</v>
      </c>
      <c r="D667" s="4">
        <f>60.853 * CHOOSE(CONTROL!$C$10, $C$13, 100%, $E$13) + CHOOSE(CONTROL!$C$29, 0.0021, 0)</f>
        <v>60.8551</v>
      </c>
      <c r="E667" s="4">
        <f>303.146648413869 * CHOOSE(CONTROL!$C$10, $C$13, 100%, $E$13) + CHOOSE(CONTROL!$C$29, 0.0021, 0)</f>
        <v>303.14874841386899</v>
      </c>
    </row>
    <row r="668" spans="1:5" ht="15">
      <c r="A668" s="13">
        <v>61483</v>
      </c>
      <c r="B668" s="4">
        <f>48.9937 * CHOOSE(CONTROL!$C$10, $C$13, 100%, $E$13) + CHOOSE(CONTROL!$C$29, 0.0272, 0)</f>
        <v>49.020899999999997</v>
      </c>
      <c r="C668" s="4">
        <f>48.6304 * CHOOSE(CONTROL!$C$10, $C$13, 100%, $E$13) + CHOOSE(CONTROL!$C$29, 0.0272, 0)</f>
        <v>48.657600000000002</v>
      </c>
      <c r="D668" s="4">
        <f>62.5749 * CHOOSE(CONTROL!$C$10, $C$13, 100%, $E$13) + CHOOSE(CONTROL!$C$29, 0.0021, 0)</f>
        <v>62.576999999999998</v>
      </c>
      <c r="E668" s="4">
        <f>315.512179736956 * CHOOSE(CONTROL!$C$10, $C$13, 100%, $E$13) + CHOOSE(CONTROL!$C$29, 0.0021, 0)</f>
        <v>315.51427973695598</v>
      </c>
    </row>
    <row r="669" spans="1:5" ht="15">
      <c r="A669" s="13">
        <v>61514</v>
      </c>
      <c r="B669" s="4">
        <f>50.1483 * CHOOSE(CONTROL!$C$10, $C$13, 100%, $E$13) + CHOOSE(CONTROL!$C$29, 0.0272, 0)</f>
        <v>50.1755</v>
      </c>
      <c r="C669" s="4">
        <f>49.7851 * CHOOSE(CONTROL!$C$10, $C$13, 100%, $E$13) + CHOOSE(CONTROL!$C$29, 0.0272, 0)</f>
        <v>49.8123</v>
      </c>
      <c r="D669" s="4">
        <f>61.8945 * CHOOSE(CONTROL!$C$10, $C$13, 100%, $E$13) + CHOOSE(CONTROL!$C$29, 0.0021, 0)</f>
        <v>61.896599999999999</v>
      </c>
      <c r="E669" s="4">
        <f>323.067223014939 * CHOOSE(CONTROL!$C$10, $C$13, 100%, $E$13) + CHOOSE(CONTROL!$C$29, 0.0021, 0)</f>
        <v>323.06932301493896</v>
      </c>
    </row>
    <row r="670" spans="1:5" ht="15">
      <c r="A670" s="13">
        <v>61544</v>
      </c>
      <c r="B670" s="4">
        <f>50.3046 * CHOOSE(CONTROL!$C$10, $C$13, 100%, $E$13) + CHOOSE(CONTROL!$C$29, 0.0272, 0)</f>
        <v>50.331800000000001</v>
      </c>
      <c r="C670" s="4">
        <f>49.9413 * CHOOSE(CONTROL!$C$10, $C$13, 100%, $E$13) + CHOOSE(CONTROL!$C$29, 0.0272, 0)</f>
        <v>49.968499999999999</v>
      </c>
      <c r="D670" s="4">
        <f>62.4486 * CHOOSE(CONTROL!$C$10, $C$13, 100%, $E$13) + CHOOSE(CONTROL!$C$29, 0.0021, 0)</f>
        <v>62.450699999999998</v>
      </c>
      <c r="E670" s="4">
        <f>324.089451724523 * CHOOSE(CONTROL!$C$10, $C$13, 100%, $E$13) + CHOOSE(CONTROL!$C$29, 0.0021, 0)</f>
        <v>324.09155172452296</v>
      </c>
    </row>
    <row r="671" spans="1:5" ht="15">
      <c r="A671" s="13">
        <v>61575</v>
      </c>
      <c r="B671" s="4">
        <f>50.2888 * CHOOSE(CONTROL!$C$10, $C$13, 100%, $E$13) + CHOOSE(CONTROL!$C$29, 0.0272, 0)</f>
        <v>50.316000000000003</v>
      </c>
      <c r="C671" s="4">
        <f>49.9255 * CHOOSE(CONTROL!$C$10, $C$13, 100%, $E$13) + CHOOSE(CONTROL!$C$29, 0.0272, 0)</f>
        <v>49.9527</v>
      </c>
      <c r="D671" s="4">
        <f>63.4484 * CHOOSE(CONTROL!$C$10, $C$13, 100%, $E$13) + CHOOSE(CONTROL!$C$29, 0.0021, 0)</f>
        <v>63.450499999999998</v>
      </c>
      <c r="E671" s="4">
        <f>323.986369837843 * CHOOSE(CONTROL!$C$10, $C$13, 100%, $E$13) + CHOOSE(CONTROL!$C$29, 0.0021, 0)</f>
        <v>323.98846983784296</v>
      </c>
    </row>
    <row r="672" spans="1:5" ht="15">
      <c r="A672" s="13">
        <v>61606</v>
      </c>
      <c r="B672" s="4">
        <f>51.4743 * CHOOSE(CONTROL!$C$10, $C$13, 100%, $E$13) + CHOOSE(CONTROL!$C$29, 0.0272, 0)</f>
        <v>51.5015</v>
      </c>
      <c r="C672" s="4">
        <f>51.111 * CHOOSE(CONTROL!$C$10, $C$13, 100%, $E$13) + CHOOSE(CONTROL!$C$29, 0.0272, 0)</f>
        <v>51.138199999999998</v>
      </c>
      <c r="D672" s="4">
        <f>62.7881 * CHOOSE(CONTROL!$C$10, $C$13, 100%, $E$13) + CHOOSE(CONTROL!$C$29, 0.0021, 0)</f>
        <v>62.790199999999999</v>
      </c>
      <c r="E672" s="4">
        <f>331.743281810575 * CHOOSE(CONTROL!$C$10, $C$13, 100%, $E$13) + CHOOSE(CONTROL!$C$29, 0.0021, 0)</f>
        <v>331.745381810575</v>
      </c>
    </row>
    <row r="673" spans="1:5" ht="15">
      <c r="A673" s="13">
        <v>61636</v>
      </c>
      <c r="B673" s="4">
        <f>49.4538 * CHOOSE(CONTROL!$C$10, $C$13, 100%, $E$13) + CHOOSE(CONTROL!$C$29, 0.0272, 0)</f>
        <v>49.481000000000002</v>
      </c>
      <c r="C673" s="4">
        <f>49.0906 * CHOOSE(CONTROL!$C$10, $C$13, 100%, $E$13) + CHOOSE(CONTROL!$C$29, 0.0272, 0)</f>
        <v>49.117800000000003</v>
      </c>
      <c r="D673" s="4">
        <f>62.4762 * CHOOSE(CONTROL!$C$10, $C$13, 100%, $E$13) + CHOOSE(CONTROL!$C$29, 0.0021, 0)</f>
        <v>62.478299999999997</v>
      </c>
      <c r="E673" s="4">
        <f>318.523029843759 * CHOOSE(CONTROL!$C$10, $C$13, 100%, $E$13) + CHOOSE(CONTROL!$C$29, 0.0021, 0)</f>
        <v>318.52512984375898</v>
      </c>
    </row>
    <row r="674" spans="1:5" ht="15">
      <c r="A674" s="13">
        <v>61667</v>
      </c>
      <c r="B674" s="4">
        <f>47.8364 * CHOOSE(CONTROL!$C$10, $C$13, 100%, $E$13) + CHOOSE(CONTROL!$C$29, 0.0272, 0)</f>
        <v>47.863599999999998</v>
      </c>
      <c r="C674" s="4">
        <f>47.4731 * CHOOSE(CONTROL!$C$10, $C$13, 100%, $E$13) + CHOOSE(CONTROL!$C$29, 0.0272, 0)</f>
        <v>47.500300000000003</v>
      </c>
      <c r="D674" s="4">
        <f>61.6408 * CHOOSE(CONTROL!$C$10, $C$13, 100%, $E$13) + CHOOSE(CONTROL!$C$29, 0.0021, 0)</f>
        <v>61.642899999999997</v>
      </c>
      <c r="E674" s="4">
        <f>307.939956144527 * CHOOSE(CONTROL!$C$10, $C$13, 100%, $E$13) + CHOOSE(CONTROL!$C$29, 0.0021, 0)</f>
        <v>307.94205614452699</v>
      </c>
    </row>
    <row r="675" spans="1:5" ht="15">
      <c r="A675" s="13">
        <v>61697</v>
      </c>
      <c r="B675" s="4">
        <f>46.7947 * CHOOSE(CONTROL!$C$10, $C$13, 100%, $E$13) + CHOOSE(CONTROL!$C$29, 0.0272, 0)</f>
        <v>46.821899999999999</v>
      </c>
      <c r="C675" s="4">
        <f>46.4314 * CHOOSE(CONTROL!$C$10, $C$13, 100%, $E$13) + CHOOSE(CONTROL!$C$29, 0.0272, 0)</f>
        <v>46.458599999999997</v>
      </c>
      <c r="D675" s="4">
        <f>61.3536 * CHOOSE(CONTROL!$C$10, $C$13, 100%, $E$13) + CHOOSE(CONTROL!$C$29, 0.0021, 0)</f>
        <v>61.355699999999999</v>
      </c>
      <c r="E675" s="4">
        <f>301.123666387757 * CHOOSE(CONTROL!$C$10, $C$13, 100%, $E$13) + CHOOSE(CONTROL!$C$29, 0.0021, 0)</f>
        <v>301.12576638775698</v>
      </c>
    </row>
    <row r="676" spans="1:5" ht="15">
      <c r="A676" s="13">
        <v>61728</v>
      </c>
      <c r="B676" s="4">
        <f>46.0739 * CHOOSE(CONTROL!$C$10, $C$13, 100%, $E$13) + CHOOSE(CONTROL!$C$29, 0.0272, 0)</f>
        <v>46.101100000000002</v>
      </c>
      <c r="C676" s="4">
        <f>45.7106 * CHOOSE(CONTROL!$C$10, $C$13, 100%, $E$13) + CHOOSE(CONTROL!$C$29, 0.0272, 0)</f>
        <v>45.7378</v>
      </c>
      <c r="D676" s="4">
        <f>59.2393 * CHOOSE(CONTROL!$C$10, $C$13, 100%, $E$13) + CHOOSE(CONTROL!$C$29, 0.0021, 0)</f>
        <v>59.241399999999999</v>
      </c>
      <c r="E676" s="4">
        <f>296.40767007211 * CHOOSE(CONTROL!$C$10, $C$13, 100%, $E$13) + CHOOSE(CONTROL!$C$29, 0.0021, 0)</f>
        <v>296.40977007211001</v>
      </c>
    </row>
    <row r="677" spans="1:5" ht="15">
      <c r="A677" s="13">
        <v>61759</v>
      </c>
      <c r="B677" s="4">
        <f>44.1848 * CHOOSE(CONTROL!$C$10, $C$13, 100%, $E$13) + CHOOSE(CONTROL!$C$29, 0.0272, 0)</f>
        <v>44.212000000000003</v>
      </c>
      <c r="C677" s="4">
        <f>43.8216 * CHOOSE(CONTROL!$C$10, $C$13, 100%, $E$13) + CHOOSE(CONTROL!$C$29, 0.0272, 0)</f>
        <v>43.848799999999997</v>
      </c>
      <c r="D677" s="4">
        <f>56.8051 * CHOOSE(CONTROL!$C$10, $C$13, 100%, $E$13) + CHOOSE(CONTROL!$C$29, 0.0021, 0)</f>
        <v>56.807200000000002</v>
      </c>
      <c r="E677" s="4">
        <f>284.06108618768 * CHOOSE(CONTROL!$C$10, $C$13, 100%, $E$13) + CHOOSE(CONTROL!$C$29, 0.0021, 0)</f>
        <v>284.06318618768</v>
      </c>
    </row>
    <row r="678" spans="1:5" ht="15">
      <c r="A678" s="13">
        <v>61787</v>
      </c>
      <c r="B678" s="4">
        <f>45.2156 * CHOOSE(CONTROL!$C$10, $C$13, 100%, $E$13) + CHOOSE(CONTROL!$C$29, 0.0272, 0)</f>
        <v>45.242800000000003</v>
      </c>
      <c r="C678" s="4">
        <f>44.8523 * CHOOSE(CONTROL!$C$10, $C$13, 100%, $E$13) + CHOOSE(CONTROL!$C$29, 0.0272, 0)</f>
        <v>44.8795</v>
      </c>
      <c r="D678" s="4">
        <f>58.7446 * CHOOSE(CONTROL!$C$10, $C$13, 100%, $E$13) + CHOOSE(CONTROL!$C$29, 0.0021, 0)</f>
        <v>58.746699999999997</v>
      </c>
      <c r="E678" s="4">
        <f>290.805815832792 * CHOOSE(CONTROL!$C$10, $C$13, 100%, $E$13) + CHOOSE(CONTROL!$C$29, 0.0021, 0)</f>
        <v>290.80791583279199</v>
      </c>
    </row>
    <row r="679" spans="1:5" ht="15">
      <c r="A679" s="13">
        <v>61818</v>
      </c>
      <c r="B679" s="4">
        <f>47.9224 * CHOOSE(CONTROL!$C$10, $C$13, 100%, $E$13) + CHOOSE(CONTROL!$C$29, 0.0272, 0)</f>
        <v>47.949600000000004</v>
      </c>
      <c r="C679" s="4">
        <f>47.5591 * CHOOSE(CONTROL!$C$10, $C$13, 100%, $E$13) + CHOOSE(CONTROL!$C$29, 0.0272, 0)</f>
        <v>47.586300000000001</v>
      </c>
      <c r="D679" s="4">
        <f>61.7808 * CHOOSE(CONTROL!$C$10, $C$13, 100%, $E$13) + CHOOSE(CONTROL!$C$29, 0.0021, 0)</f>
        <v>61.782899999999998</v>
      </c>
      <c r="E679" s="4">
        <f>308.517834317557 * CHOOSE(CONTROL!$C$10, $C$13, 100%, $E$13) + CHOOSE(CONTROL!$C$29, 0.0021, 0)</f>
        <v>308.51993431755699</v>
      </c>
    </row>
    <row r="680" spans="1:5" ht="15">
      <c r="A680" s="13">
        <v>61848</v>
      </c>
      <c r="B680" s="4">
        <f>49.8457 * CHOOSE(CONTROL!$C$10, $C$13, 100%, $E$13) + CHOOSE(CONTROL!$C$29, 0.0272, 0)</f>
        <v>49.872900000000001</v>
      </c>
      <c r="C680" s="4">
        <f>49.4824 * CHOOSE(CONTROL!$C$10, $C$13, 100%, $E$13) + CHOOSE(CONTROL!$C$29, 0.0272, 0)</f>
        <v>49.509599999999999</v>
      </c>
      <c r="D680" s="4">
        <f>63.5297 * CHOOSE(CONTROL!$C$10, $C$13, 100%, $E$13) + CHOOSE(CONTROL!$C$29, 0.0021, 0)</f>
        <v>63.531799999999997</v>
      </c>
      <c r="E680" s="4">
        <f>321.102459494664 * CHOOSE(CONTROL!$C$10, $C$13, 100%, $E$13) + CHOOSE(CONTROL!$C$29, 0.0021, 0)</f>
        <v>321.10455949466399</v>
      </c>
    </row>
    <row r="681" spans="1:5" ht="15">
      <c r="A681" s="13">
        <v>61879</v>
      </c>
      <c r="B681" s="4">
        <f>51.0207 * CHOOSE(CONTROL!$C$10, $C$13, 100%, $E$13) + CHOOSE(CONTROL!$C$29, 0.0272, 0)</f>
        <v>51.047899999999998</v>
      </c>
      <c r="C681" s="4">
        <f>50.6574 * CHOOSE(CONTROL!$C$10, $C$13, 100%, $E$13) + CHOOSE(CONTROL!$C$29, 0.0272, 0)</f>
        <v>50.684600000000003</v>
      </c>
      <c r="D681" s="4">
        <f>62.8386 * CHOOSE(CONTROL!$C$10, $C$13, 100%, $E$13) + CHOOSE(CONTROL!$C$29, 0.0021, 0)</f>
        <v>62.840699999999998</v>
      </c>
      <c r="E681" s="4">
        <f>328.791363866506 * CHOOSE(CONTROL!$C$10, $C$13, 100%, $E$13) + CHOOSE(CONTROL!$C$29, 0.0021, 0)</f>
        <v>328.79346386650599</v>
      </c>
    </row>
    <row r="682" spans="1:5" ht="15">
      <c r="A682" s="13">
        <v>61909</v>
      </c>
      <c r="B682" s="4">
        <f>51.1797 * CHOOSE(CONTROL!$C$10, $C$13, 100%, $E$13) + CHOOSE(CONTROL!$C$29, 0.0272, 0)</f>
        <v>51.206899999999997</v>
      </c>
      <c r="C682" s="4">
        <f>50.8164 * CHOOSE(CONTROL!$C$10, $C$13, 100%, $E$13) + CHOOSE(CONTROL!$C$29, 0.0272, 0)</f>
        <v>50.843600000000002</v>
      </c>
      <c r="D682" s="4">
        <f>63.4015 * CHOOSE(CONTROL!$C$10, $C$13, 100%, $E$13) + CHOOSE(CONTROL!$C$29, 0.0021, 0)</f>
        <v>63.403599999999997</v>
      </c>
      <c r="E682" s="4">
        <f>329.831704537625 * CHOOSE(CONTROL!$C$10, $C$13, 100%, $E$13) + CHOOSE(CONTROL!$C$29, 0.0021, 0)</f>
        <v>329.83380453762499</v>
      </c>
    </row>
    <row r="683" spans="1:5" ht="15">
      <c r="A683" s="13">
        <v>61940</v>
      </c>
      <c r="B683" s="4">
        <f>51.1637 * CHOOSE(CONTROL!$C$10, $C$13, 100%, $E$13) + CHOOSE(CONTROL!$C$29, 0.0272, 0)</f>
        <v>51.190899999999999</v>
      </c>
      <c r="C683" s="4">
        <f>50.8004 * CHOOSE(CONTROL!$C$10, $C$13, 100%, $E$13) + CHOOSE(CONTROL!$C$29, 0.0272, 0)</f>
        <v>50.827600000000004</v>
      </c>
      <c r="D683" s="4">
        <f>64.417 * CHOOSE(CONTROL!$C$10, $C$13, 100%, $E$13) + CHOOSE(CONTROL!$C$29, 0.0021, 0)</f>
        <v>64.4191</v>
      </c>
      <c r="E683" s="4">
        <f>329.726796234655 * CHOOSE(CONTROL!$C$10, $C$13, 100%, $E$13) + CHOOSE(CONTROL!$C$29, 0.0021, 0)</f>
        <v>329.728896234655</v>
      </c>
    </row>
    <row r="684" spans="1:5" ht="15">
      <c r="A684" s="13">
        <v>61971</v>
      </c>
      <c r="B684" s="4">
        <f>52.3701 * CHOOSE(CONTROL!$C$10, $C$13, 100%, $E$13) + CHOOSE(CONTROL!$C$29, 0.0272, 0)</f>
        <v>52.397300000000001</v>
      </c>
      <c r="C684" s="4">
        <f>52.0068 * CHOOSE(CONTROL!$C$10, $C$13, 100%, $E$13) + CHOOSE(CONTROL!$C$29, 0.0272, 0)</f>
        <v>52.033999999999999</v>
      </c>
      <c r="D684" s="4">
        <f>63.7464 * CHOOSE(CONTROL!$C$10, $C$13, 100%, $E$13) + CHOOSE(CONTROL!$C$29, 0.0021, 0)</f>
        <v>63.7485</v>
      </c>
      <c r="E684" s="4">
        <f>337.621146033146 * CHOOSE(CONTROL!$C$10, $C$13, 100%, $E$13) + CHOOSE(CONTROL!$C$29, 0.0021, 0)</f>
        <v>337.62324603314596</v>
      </c>
    </row>
    <row r="685" spans="1:5" ht="15">
      <c r="A685" s="13">
        <v>62001</v>
      </c>
      <c r="B685" s="4">
        <f>50.3139 * CHOOSE(CONTROL!$C$10, $C$13, 100%, $E$13) + CHOOSE(CONTROL!$C$29, 0.0272, 0)</f>
        <v>50.341099999999997</v>
      </c>
      <c r="C685" s="4">
        <f>49.9507 * CHOOSE(CONTROL!$C$10, $C$13, 100%, $E$13) + CHOOSE(CONTROL!$C$29, 0.0272, 0)</f>
        <v>49.977899999999998</v>
      </c>
      <c r="D685" s="4">
        <f>63.4295 * CHOOSE(CONTROL!$C$10, $C$13, 100%, $E$13) + CHOOSE(CONTROL!$C$29, 0.0021, 0)</f>
        <v>63.431599999999996</v>
      </c>
      <c r="E685" s="4">
        <f>324.166656177246 * CHOOSE(CONTROL!$C$10, $C$13, 100%, $E$13) + CHOOSE(CONTROL!$C$29, 0.0021, 0)</f>
        <v>324.168756177246</v>
      </c>
    </row>
    <row r="686" spans="1:5" ht="15">
      <c r="A686" s="13">
        <v>62032</v>
      </c>
      <c r="B686" s="4">
        <f>48.6679 * CHOOSE(CONTROL!$C$10, $C$13, 100%, $E$13) + CHOOSE(CONTROL!$C$29, 0.0272, 0)</f>
        <v>48.695100000000004</v>
      </c>
      <c r="C686" s="4">
        <f>48.3046 * CHOOSE(CONTROL!$C$10, $C$13, 100%, $E$13) + CHOOSE(CONTROL!$C$29, 0.0272, 0)</f>
        <v>48.331800000000001</v>
      </c>
      <c r="D686" s="4">
        <f>62.581 * CHOOSE(CONTROL!$C$10, $C$13, 100%, $E$13) + CHOOSE(CONTROL!$C$29, 0.0021, 0)</f>
        <v>62.583100000000002</v>
      </c>
      <c r="E686" s="4">
        <f>313.396070405661 * CHOOSE(CONTROL!$C$10, $C$13, 100%, $E$13) + CHOOSE(CONTROL!$C$29, 0.0021, 0)</f>
        <v>313.39817040566101</v>
      </c>
    </row>
    <row r="687" spans="1:5" ht="15">
      <c r="A687" s="13">
        <v>62062</v>
      </c>
      <c r="B687" s="4">
        <f>47.6078 * CHOOSE(CONTROL!$C$10, $C$13, 100%, $E$13) + CHOOSE(CONTROL!$C$29, 0.0272, 0)</f>
        <v>47.634999999999998</v>
      </c>
      <c r="C687" s="4">
        <f>47.2445 * CHOOSE(CONTROL!$C$10, $C$13, 100%, $E$13) + CHOOSE(CONTROL!$C$29, 0.0272, 0)</f>
        <v>47.271700000000003</v>
      </c>
      <c r="D687" s="4">
        <f>62.2893 * CHOOSE(CONTROL!$C$10, $C$13, 100%, $E$13) + CHOOSE(CONTROL!$C$29, 0.0021, 0)</f>
        <v>62.291399999999996</v>
      </c>
      <c r="E687" s="4">
        <f>306.459008871771 * CHOOSE(CONTROL!$C$10, $C$13, 100%, $E$13) + CHOOSE(CONTROL!$C$29, 0.0021, 0)</f>
        <v>306.46110887177099</v>
      </c>
    </row>
    <row r="688" spans="1:5" ht="15">
      <c r="A688" s="13">
        <v>62093</v>
      </c>
      <c r="B688" s="4">
        <f>46.8743 * CHOOSE(CONTROL!$C$10, $C$13, 100%, $E$13) + CHOOSE(CONTROL!$C$29, 0.0272, 0)</f>
        <v>46.901499999999999</v>
      </c>
      <c r="C688" s="4">
        <f>46.511 * CHOOSE(CONTROL!$C$10, $C$13, 100%, $E$13) + CHOOSE(CONTROL!$C$29, 0.0272, 0)</f>
        <v>46.538200000000003</v>
      </c>
      <c r="D688" s="4">
        <f>60.1417 * CHOOSE(CONTROL!$C$10, $C$13, 100%, $E$13) + CHOOSE(CONTROL!$C$29, 0.0021, 0)</f>
        <v>60.143799999999999</v>
      </c>
      <c r="E688" s="4">
        <f>301.659454010894 * CHOOSE(CONTROL!$C$10, $C$13, 100%, $E$13) + CHOOSE(CONTROL!$C$29, 0.0021, 0)</f>
        <v>301.66155401089401</v>
      </c>
    </row>
    <row r="689" spans="1:5" ht="15">
      <c r="A689" s="13">
        <v>62124</v>
      </c>
      <c r="B689" s="4">
        <f>44.9518 * CHOOSE(CONTROL!$C$10, $C$13, 100%, $E$13) + CHOOSE(CONTROL!$C$29, 0.0272, 0)</f>
        <v>44.978999999999999</v>
      </c>
      <c r="C689" s="4">
        <f>44.5886 * CHOOSE(CONTROL!$C$10, $C$13, 100%, $E$13) + CHOOSE(CONTROL!$C$29, 0.0272, 0)</f>
        <v>44.6158</v>
      </c>
      <c r="D689" s="4">
        <f>57.6692 * CHOOSE(CONTROL!$C$10, $C$13, 100%, $E$13) + CHOOSE(CONTROL!$C$29, 0.0021, 0)</f>
        <v>57.671299999999995</v>
      </c>
      <c r="E689" s="4">
        <f>289.094111985262 * CHOOSE(CONTROL!$C$10, $C$13, 100%, $E$13) + CHOOSE(CONTROL!$C$29, 0.0021, 0)</f>
        <v>289.09621198526196</v>
      </c>
    </row>
    <row r="690" spans="1:5" ht="15">
      <c r="A690" s="13">
        <v>62152</v>
      </c>
      <c r="B690" s="4">
        <f>46.0008 * CHOOSE(CONTROL!$C$10, $C$13, 100%, $E$13) + CHOOSE(CONTROL!$C$29, 0.0272, 0)</f>
        <v>46.027999999999999</v>
      </c>
      <c r="C690" s="4">
        <f>45.6375 * CHOOSE(CONTROL!$C$10, $C$13, 100%, $E$13) + CHOOSE(CONTROL!$C$29, 0.0272, 0)</f>
        <v>45.664700000000003</v>
      </c>
      <c r="D690" s="4">
        <f>59.6393 * CHOOSE(CONTROL!$C$10, $C$13, 100%, $E$13) + CHOOSE(CONTROL!$C$29, 0.0021, 0)</f>
        <v>59.641399999999997</v>
      </c>
      <c r="E690" s="4">
        <f>295.958345497507 * CHOOSE(CONTROL!$C$10, $C$13, 100%, $E$13) + CHOOSE(CONTROL!$C$29, 0.0021, 0)</f>
        <v>295.96044549750701</v>
      </c>
    </row>
    <row r="691" spans="1:5" ht="15">
      <c r="A691" s="13">
        <v>62183</v>
      </c>
      <c r="B691" s="4">
        <f>48.7555 * CHOOSE(CONTROL!$C$10, $C$13, 100%, $E$13) + CHOOSE(CONTROL!$C$29, 0.0272, 0)</f>
        <v>48.782699999999998</v>
      </c>
      <c r="C691" s="4">
        <f>48.3922 * CHOOSE(CONTROL!$C$10, $C$13, 100%, $E$13) + CHOOSE(CONTROL!$C$29, 0.0272, 0)</f>
        <v>48.419400000000003</v>
      </c>
      <c r="D691" s="4">
        <f>62.7232 * CHOOSE(CONTROL!$C$10, $C$13, 100%, $E$13) + CHOOSE(CONTROL!$C$29, 0.0021, 0)</f>
        <v>62.725299999999997</v>
      </c>
      <c r="E691" s="4">
        <f>313.984187488187 * CHOOSE(CONTROL!$C$10, $C$13, 100%, $E$13) + CHOOSE(CONTROL!$C$29, 0.0021, 0)</f>
        <v>313.98628748818697</v>
      </c>
    </row>
    <row r="692" spans="1:5" ht="15">
      <c r="A692" s="13">
        <v>62213</v>
      </c>
      <c r="B692" s="4">
        <f>50.7127 * CHOOSE(CONTROL!$C$10, $C$13, 100%, $E$13) + CHOOSE(CONTROL!$C$29, 0.0272, 0)</f>
        <v>50.739899999999999</v>
      </c>
      <c r="C692" s="4">
        <f>50.3494 * CHOOSE(CONTROL!$C$10, $C$13, 100%, $E$13) + CHOOSE(CONTROL!$C$29, 0.0272, 0)</f>
        <v>50.376600000000003</v>
      </c>
      <c r="D692" s="4">
        <f>64.4996 * CHOOSE(CONTROL!$C$10, $C$13, 100%, $E$13) + CHOOSE(CONTROL!$C$29, 0.0021, 0)</f>
        <v>64.5017</v>
      </c>
      <c r="E692" s="4">
        <f>326.791788448494 * CHOOSE(CONTROL!$C$10, $C$13, 100%, $E$13) + CHOOSE(CONTROL!$C$29, 0.0021, 0)</f>
        <v>326.79388844849399</v>
      </c>
    </row>
    <row r="693" spans="1:5" ht="15">
      <c r="A693" s="13">
        <v>62244</v>
      </c>
      <c r="B693" s="4">
        <f>51.9085 * CHOOSE(CONTROL!$C$10, $C$13, 100%, $E$13) + CHOOSE(CONTROL!$C$29, 0.0272, 0)</f>
        <v>51.935699999999997</v>
      </c>
      <c r="C693" s="4">
        <f>51.5452 * CHOOSE(CONTROL!$C$10, $C$13, 100%, $E$13) + CHOOSE(CONTROL!$C$29, 0.0272, 0)</f>
        <v>51.572400000000002</v>
      </c>
      <c r="D693" s="4">
        <f>63.7976 * CHOOSE(CONTROL!$C$10, $C$13, 100%, $E$13) + CHOOSE(CONTROL!$C$29, 0.0021, 0)</f>
        <v>63.799700000000001</v>
      </c>
      <c r="E693" s="4">
        <f>334.616925679887 * CHOOSE(CONTROL!$C$10, $C$13, 100%, $E$13) + CHOOSE(CONTROL!$C$29, 0.0021, 0)</f>
        <v>334.61902567988699</v>
      </c>
    </row>
    <row r="694" spans="1:5" ht="15">
      <c r="A694" s="13">
        <v>62274</v>
      </c>
      <c r="B694" s="4">
        <f>52.0703 * CHOOSE(CONTROL!$C$10, $C$13, 100%, $E$13) + CHOOSE(CONTROL!$C$29, 0.0272, 0)</f>
        <v>52.097500000000004</v>
      </c>
      <c r="C694" s="4">
        <f>51.707 * CHOOSE(CONTROL!$C$10, $C$13, 100%, $E$13) + CHOOSE(CONTROL!$C$29, 0.0272, 0)</f>
        <v>51.734200000000001</v>
      </c>
      <c r="D694" s="4">
        <f>64.3693 * CHOOSE(CONTROL!$C$10, $C$13, 100%, $E$13) + CHOOSE(CONTROL!$C$29, 0.0021, 0)</f>
        <v>64.371399999999994</v>
      </c>
      <c r="E694" s="4">
        <f>335.675699222281 * CHOOSE(CONTROL!$C$10, $C$13, 100%, $E$13) + CHOOSE(CONTROL!$C$29, 0.0021, 0)</f>
        <v>335.67779922228101</v>
      </c>
    </row>
    <row r="695" spans="1:5" ht="15">
      <c r="A695" s="13">
        <v>62305</v>
      </c>
      <c r="B695" s="4">
        <f>52.054 * CHOOSE(CONTROL!$C$10, $C$13, 100%, $E$13) + CHOOSE(CONTROL!$C$29, 0.0272, 0)</f>
        <v>52.081200000000003</v>
      </c>
      <c r="C695" s="4">
        <f>51.6907 * CHOOSE(CONTROL!$C$10, $C$13, 100%, $E$13) + CHOOSE(CONTROL!$C$29, 0.0272, 0)</f>
        <v>51.7179</v>
      </c>
      <c r="D695" s="4">
        <f>65.4009 * CHOOSE(CONTROL!$C$10, $C$13, 100%, $E$13) + CHOOSE(CONTROL!$C$29, 0.0021, 0)</f>
        <v>65.402999999999992</v>
      </c>
      <c r="E695" s="4">
        <f>335.568932142376 * CHOOSE(CONTROL!$C$10, $C$13, 100%, $E$13) + CHOOSE(CONTROL!$C$29, 0.0021, 0)</f>
        <v>335.571032142376</v>
      </c>
    </row>
    <row r="696" spans="1:5" ht="15">
      <c r="A696" s="13">
        <v>62336</v>
      </c>
      <c r="B696" s="4">
        <f>53.2817 * CHOOSE(CONTROL!$C$10, $C$13, 100%, $E$13) + CHOOSE(CONTROL!$C$29, 0.0272, 0)</f>
        <v>53.308900000000001</v>
      </c>
      <c r="C696" s="4">
        <f>52.9184 * CHOOSE(CONTROL!$C$10, $C$13, 100%, $E$13) + CHOOSE(CONTROL!$C$29, 0.0272, 0)</f>
        <v>52.945599999999999</v>
      </c>
      <c r="D696" s="4">
        <f>64.7196 * CHOOSE(CONTROL!$C$10, $C$13, 100%, $E$13) + CHOOSE(CONTROL!$C$29, 0.0021, 0)</f>
        <v>64.721699999999998</v>
      </c>
      <c r="E696" s="4">
        <f>343.60315490525 * CHOOSE(CONTROL!$C$10, $C$13, 100%, $E$13) + CHOOSE(CONTROL!$C$29, 0.0021, 0)</f>
        <v>343.60525490524998</v>
      </c>
    </row>
    <row r="697" spans="1:5" ht="15">
      <c r="A697" s="13">
        <v>62366</v>
      </c>
      <c r="B697" s="4">
        <f>51.1892 * CHOOSE(CONTROL!$C$10, $C$13, 100%, $E$13) + CHOOSE(CONTROL!$C$29, 0.0272, 0)</f>
        <v>51.2164</v>
      </c>
      <c r="C697" s="4">
        <f>50.8259 * CHOOSE(CONTROL!$C$10, $C$13, 100%, $E$13) + CHOOSE(CONTROL!$C$29, 0.0272, 0)</f>
        <v>50.853099999999998</v>
      </c>
      <c r="D697" s="4">
        <f>64.3978 * CHOOSE(CONTROL!$C$10, $C$13, 100%, $E$13) + CHOOSE(CONTROL!$C$29, 0.0021, 0)</f>
        <v>64.399900000000002</v>
      </c>
      <c r="E697" s="4">
        <f>329.910276907395 * CHOOSE(CONTROL!$C$10, $C$13, 100%, $E$13) + CHOOSE(CONTROL!$C$29, 0.0021, 0)</f>
        <v>329.91237690739496</v>
      </c>
    </row>
    <row r="698" spans="1:5" ht="15">
      <c r="A698" s="13">
        <v>62397</v>
      </c>
      <c r="B698" s="4">
        <f>49.5141 * CHOOSE(CONTROL!$C$10, $C$13, 100%, $E$13) + CHOOSE(CONTROL!$C$29, 0.0272, 0)</f>
        <v>49.5413</v>
      </c>
      <c r="C698" s="4">
        <f>49.1509 * CHOOSE(CONTROL!$C$10, $C$13, 100%, $E$13) + CHOOSE(CONTROL!$C$29, 0.0272, 0)</f>
        <v>49.178100000000001</v>
      </c>
      <c r="D698" s="4">
        <f>63.536 * CHOOSE(CONTROL!$C$10, $C$13, 100%, $E$13) + CHOOSE(CONTROL!$C$29, 0.0021, 0)</f>
        <v>63.5381</v>
      </c>
      <c r="E698" s="4">
        <f>318.948856703783 * CHOOSE(CONTROL!$C$10, $C$13, 100%, $E$13) + CHOOSE(CONTROL!$C$29, 0.0021, 0)</f>
        <v>318.95095670378299</v>
      </c>
    </row>
    <row r="699" spans="1:5" ht="15">
      <c r="A699" s="13">
        <v>62427</v>
      </c>
      <c r="B699" s="4">
        <f>48.4353 * CHOOSE(CONTROL!$C$10, $C$13, 100%, $E$13) + CHOOSE(CONTROL!$C$29, 0.0272, 0)</f>
        <v>48.462499999999999</v>
      </c>
      <c r="C699" s="4">
        <f>48.072 * CHOOSE(CONTROL!$C$10, $C$13, 100%, $E$13) + CHOOSE(CONTROL!$C$29, 0.0272, 0)</f>
        <v>48.099200000000003</v>
      </c>
      <c r="D699" s="4">
        <f>63.2397 * CHOOSE(CONTROL!$C$10, $C$13, 100%, $E$13) + CHOOSE(CONTROL!$C$29, 0.0021, 0)</f>
        <v>63.241799999999998</v>
      </c>
      <c r="E699" s="4">
        <f>311.888883545045 * CHOOSE(CONTROL!$C$10, $C$13, 100%, $E$13) + CHOOSE(CONTROL!$C$29, 0.0021, 0)</f>
        <v>311.890983545045</v>
      </c>
    </row>
    <row r="700" spans="1:5" ht="15">
      <c r="A700" s="13">
        <v>62458</v>
      </c>
      <c r="B700" s="4">
        <f>47.6888 * CHOOSE(CONTROL!$C$10, $C$13, 100%, $E$13) + CHOOSE(CONTROL!$C$29, 0.0272, 0)</f>
        <v>47.716000000000001</v>
      </c>
      <c r="C700" s="4">
        <f>47.3255 * CHOOSE(CONTROL!$C$10, $C$13, 100%, $E$13) + CHOOSE(CONTROL!$C$29, 0.0272, 0)</f>
        <v>47.352699999999999</v>
      </c>
      <c r="D700" s="4">
        <f>61.0583 * CHOOSE(CONTROL!$C$10, $C$13, 100%, $E$13) + CHOOSE(CONTROL!$C$29, 0.0021, 0)</f>
        <v>61.060400000000001</v>
      </c>
      <c r="E700" s="4">
        <f>307.004289639377 * CHOOSE(CONTROL!$C$10, $C$13, 100%, $E$13) + CHOOSE(CONTROL!$C$29, 0.0021, 0)</f>
        <v>307.00638963937701</v>
      </c>
    </row>
    <row r="701" spans="1:5" ht="15">
      <c r="A701" s="13">
        <v>62489</v>
      </c>
      <c r="B701" s="4">
        <f>45.7324 * CHOOSE(CONTROL!$C$10, $C$13, 100%, $E$13) + CHOOSE(CONTROL!$C$29, 0.0272, 0)</f>
        <v>45.759599999999999</v>
      </c>
      <c r="C701" s="4">
        <f>45.3691 * CHOOSE(CONTROL!$C$10, $C$13, 100%, $E$13) + CHOOSE(CONTROL!$C$29, 0.0272, 0)</f>
        <v>45.396300000000004</v>
      </c>
      <c r="D701" s="4">
        <f>58.547 * CHOOSE(CONTROL!$C$10, $C$13, 100%, $E$13) + CHOOSE(CONTROL!$C$29, 0.0021, 0)</f>
        <v>58.549099999999996</v>
      </c>
      <c r="E701" s="4">
        <f>294.21631349156 * CHOOSE(CONTROL!$C$10, $C$13, 100%, $E$13) + CHOOSE(CONTROL!$C$29, 0.0021, 0)</f>
        <v>294.21841349156</v>
      </c>
    </row>
    <row r="702" spans="1:5" ht="15">
      <c r="A702" s="13">
        <v>62517</v>
      </c>
      <c r="B702" s="4">
        <f>46.7999 * CHOOSE(CONTROL!$C$10, $C$13, 100%, $E$13) + CHOOSE(CONTROL!$C$29, 0.0272, 0)</f>
        <v>46.827100000000002</v>
      </c>
      <c r="C702" s="4">
        <f>46.4366 * CHOOSE(CONTROL!$C$10, $C$13, 100%, $E$13) + CHOOSE(CONTROL!$C$29, 0.0272, 0)</f>
        <v>46.463799999999999</v>
      </c>
      <c r="D702" s="4">
        <f>60.548 * CHOOSE(CONTROL!$C$10, $C$13, 100%, $E$13) + CHOOSE(CONTROL!$C$29, 0.0021, 0)</f>
        <v>60.5501</v>
      </c>
      <c r="E702" s="4">
        <f>301.202168253697 * CHOOSE(CONTROL!$C$10, $C$13, 100%, $E$13) + CHOOSE(CONTROL!$C$29, 0.0021, 0)</f>
        <v>301.20426825369697</v>
      </c>
    </row>
    <row r="703" spans="1:5" ht="15">
      <c r="A703" s="13">
        <v>62548</v>
      </c>
      <c r="B703" s="4">
        <f>49.6032 * CHOOSE(CONTROL!$C$10, $C$13, 100%, $E$13) + CHOOSE(CONTROL!$C$29, 0.0272, 0)</f>
        <v>49.630400000000002</v>
      </c>
      <c r="C703" s="4">
        <f>49.2399 * CHOOSE(CONTROL!$C$10, $C$13, 100%, $E$13) + CHOOSE(CONTROL!$C$29, 0.0272, 0)</f>
        <v>49.267099999999999</v>
      </c>
      <c r="D703" s="4">
        <f>63.6804 * CHOOSE(CONTROL!$C$10, $C$13, 100%, $E$13) + CHOOSE(CONTROL!$C$29, 0.0021, 0)</f>
        <v>63.682499999999997</v>
      </c>
      <c r="E703" s="4">
        <f>319.547394109937 * CHOOSE(CONTROL!$C$10, $C$13, 100%, $E$13) + CHOOSE(CONTROL!$C$29, 0.0021, 0)</f>
        <v>319.54949410993697</v>
      </c>
    </row>
    <row r="704" spans="1:5" ht="15">
      <c r="A704" s="13">
        <v>62578</v>
      </c>
      <c r="B704" s="4">
        <f>51.595 * CHOOSE(CONTROL!$C$10, $C$13, 100%, $E$13) + CHOOSE(CONTROL!$C$29, 0.0272, 0)</f>
        <v>51.622199999999999</v>
      </c>
      <c r="C704" s="4">
        <f>51.2317 * CHOOSE(CONTROL!$C$10, $C$13, 100%, $E$13) + CHOOSE(CONTROL!$C$29, 0.0272, 0)</f>
        <v>51.258899999999997</v>
      </c>
      <c r="D704" s="4">
        <f>65.4847 * CHOOSE(CONTROL!$C$10, $C$13, 100%, $E$13) + CHOOSE(CONTROL!$C$29, 0.0021, 0)</f>
        <v>65.486800000000002</v>
      </c>
      <c r="E704" s="4">
        <f>332.581921563076 * CHOOSE(CONTROL!$C$10, $C$13, 100%, $E$13) + CHOOSE(CONTROL!$C$29, 0.0021, 0)</f>
        <v>332.58402156307596</v>
      </c>
    </row>
    <row r="705" spans="1:5" ht="15">
      <c r="A705" s="13">
        <v>62609</v>
      </c>
      <c r="B705" s="4">
        <f>52.812 * CHOOSE(CONTROL!$C$10, $C$13, 100%, $E$13) + CHOOSE(CONTROL!$C$29, 0.0272, 0)</f>
        <v>52.839199999999998</v>
      </c>
      <c r="C705" s="4">
        <f>52.4487 * CHOOSE(CONTROL!$C$10, $C$13, 100%, $E$13) + CHOOSE(CONTROL!$C$29, 0.0272, 0)</f>
        <v>52.475900000000003</v>
      </c>
      <c r="D705" s="4">
        <f>64.7717 * CHOOSE(CONTROL!$C$10, $C$13, 100%, $E$13) + CHOOSE(CONTROL!$C$29, 0.0021, 0)</f>
        <v>64.773799999999994</v>
      </c>
      <c r="E705" s="4">
        <f>340.54570544292 * CHOOSE(CONTROL!$C$10, $C$13, 100%, $E$13) + CHOOSE(CONTROL!$C$29, 0.0021, 0)</f>
        <v>340.54780544291998</v>
      </c>
    </row>
    <row r="706" spans="1:5" ht="15">
      <c r="A706" s="13">
        <v>62639</v>
      </c>
      <c r="B706" s="4">
        <f>52.9766 * CHOOSE(CONTROL!$C$10, $C$13, 100%, $E$13) + CHOOSE(CONTROL!$C$29, 0.0272, 0)</f>
        <v>53.003799999999998</v>
      </c>
      <c r="C706" s="4">
        <f>52.6133 * CHOOSE(CONTROL!$C$10, $C$13, 100%, $E$13) + CHOOSE(CONTROL!$C$29, 0.0272, 0)</f>
        <v>52.640500000000003</v>
      </c>
      <c r="D706" s="4">
        <f>65.3524 * CHOOSE(CONTROL!$C$10, $C$13, 100%, $E$13) + CHOOSE(CONTROL!$C$29, 0.0021, 0)</f>
        <v>65.354500000000002</v>
      </c>
      <c r="E706" s="4">
        <f>341.623238452245 * CHOOSE(CONTROL!$C$10, $C$13, 100%, $E$13) + CHOOSE(CONTROL!$C$29, 0.0021, 0)</f>
        <v>341.62533845224499</v>
      </c>
    </row>
    <row r="707" spans="1:5" ht="15">
      <c r="A707" s="13">
        <v>62670</v>
      </c>
      <c r="B707" s="4">
        <f>52.96 * CHOOSE(CONTROL!$C$10, $C$13, 100%, $E$13) + CHOOSE(CONTROL!$C$29, 0.0272, 0)</f>
        <v>52.987200000000001</v>
      </c>
      <c r="C707" s="4">
        <f>52.5967 * CHOOSE(CONTROL!$C$10, $C$13, 100%, $E$13) + CHOOSE(CONTROL!$C$29, 0.0272, 0)</f>
        <v>52.623899999999999</v>
      </c>
      <c r="D707" s="4">
        <f>66.4002 * CHOOSE(CONTROL!$C$10, $C$13, 100%, $E$13) + CHOOSE(CONTROL!$C$29, 0.0021, 0)</f>
        <v>66.402299999999997</v>
      </c>
      <c r="E707" s="4">
        <f>341.514579661388 * CHOOSE(CONTROL!$C$10, $C$13, 100%, $E$13) + CHOOSE(CONTROL!$C$29, 0.0021, 0)</f>
        <v>341.51667966138797</v>
      </c>
    </row>
    <row r="708" spans="1:5" ht="15">
      <c r="A708" s="13">
        <v>62701</v>
      </c>
      <c r="B708" s="4">
        <f>54.2095 * CHOOSE(CONTROL!$C$10, $C$13, 100%, $E$13) + CHOOSE(CONTROL!$C$29, 0.0272, 0)</f>
        <v>54.236699999999999</v>
      </c>
      <c r="C708" s="4">
        <f>53.8462 * CHOOSE(CONTROL!$C$10, $C$13, 100%, $E$13) + CHOOSE(CONTROL!$C$29, 0.0272, 0)</f>
        <v>53.873400000000004</v>
      </c>
      <c r="D708" s="4">
        <f>65.7082 * CHOOSE(CONTROL!$C$10, $C$13, 100%, $E$13) + CHOOSE(CONTROL!$C$29, 0.0021, 0)</f>
        <v>65.710300000000004</v>
      </c>
      <c r="E708" s="4">
        <f>349.691153673326 * CHOOSE(CONTROL!$C$10, $C$13, 100%, $E$13) + CHOOSE(CONTROL!$C$29, 0.0021, 0)</f>
        <v>349.69325367332601</v>
      </c>
    </row>
    <row r="709" spans="1:5" ht="15">
      <c r="A709" s="13">
        <v>62731</v>
      </c>
      <c r="B709" s="4">
        <f>52.08 * CHOOSE(CONTROL!$C$10, $C$13, 100%, $E$13) + CHOOSE(CONTROL!$C$29, 0.0272, 0)</f>
        <v>52.107199999999999</v>
      </c>
      <c r="C709" s="4">
        <f>51.7167 * CHOOSE(CONTROL!$C$10, $C$13, 100%, $E$13) + CHOOSE(CONTROL!$C$29, 0.0272, 0)</f>
        <v>51.743900000000004</v>
      </c>
      <c r="D709" s="4">
        <f>65.3813 * CHOOSE(CONTROL!$C$10, $C$13, 100%, $E$13) + CHOOSE(CONTROL!$C$29, 0.0021, 0)</f>
        <v>65.383399999999995</v>
      </c>
      <c r="E709" s="4">
        <f>335.755663746004 * CHOOSE(CONTROL!$C$10, $C$13, 100%, $E$13) + CHOOSE(CONTROL!$C$29, 0.0021, 0)</f>
        <v>335.757763746004</v>
      </c>
    </row>
    <row r="710" spans="1:5" ht="15">
      <c r="A710" s="13">
        <v>62762</v>
      </c>
      <c r="B710" s="4">
        <f>50.3753 * CHOOSE(CONTROL!$C$10, $C$13, 100%, $E$13) + CHOOSE(CONTROL!$C$29, 0.0272, 0)</f>
        <v>50.402500000000003</v>
      </c>
      <c r="C710" s="4">
        <f>50.012 * CHOOSE(CONTROL!$C$10, $C$13, 100%, $E$13) + CHOOSE(CONTROL!$C$29, 0.0272, 0)</f>
        <v>50.039200000000001</v>
      </c>
      <c r="D710" s="4">
        <f>64.5059 * CHOOSE(CONTROL!$C$10, $C$13, 100%, $E$13) + CHOOSE(CONTROL!$C$29, 0.0021, 0)</f>
        <v>64.507999999999996</v>
      </c>
      <c r="E710" s="4">
        <f>324.600027884756 * CHOOSE(CONTROL!$C$10, $C$13, 100%, $E$13) + CHOOSE(CONTROL!$C$29, 0.0021, 0)</f>
        <v>324.60212788475599</v>
      </c>
    </row>
    <row r="711" spans="1:5" ht="15">
      <c r="A711" s="13">
        <v>62792</v>
      </c>
      <c r="B711" s="4">
        <f>49.2774 * CHOOSE(CONTROL!$C$10, $C$13, 100%, $E$13) + CHOOSE(CONTROL!$C$29, 0.0272, 0)</f>
        <v>49.304600000000001</v>
      </c>
      <c r="C711" s="4">
        <f>48.9141 * CHOOSE(CONTROL!$C$10, $C$13, 100%, $E$13) + CHOOSE(CONTROL!$C$29, 0.0272, 0)</f>
        <v>48.941299999999998</v>
      </c>
      <c r="D711" s="4">
        <f>64.205 * CHOOSE(CONTROL!$C$10, $C$13, 100%, $E$13) + CHOOSE(CONTROL!$C$29, 0.0021, 0)</f>
        <v>64.207099999999997</v>
      </c>
      <c r="E711" s="4">
        <f>317.414965339382 * CHOOSE(CONTROL!$C$10, $C$13, 100%, $E$13) + CHOOSE(CONTROL!$C$29, 0.0021, 0)</f>
        <v>317.41706533938196</v>
      </c>
    </row>
    <row r="712" spans="1:5" ht="15">
      <c r="A712" s="13">
        <v>62823</v>
      </c>
      <c r="B712" s="4">
        <f>48.5177 * CHOOSE(CONTROL!$C$10, $C$13, 100%, $E$13) + CHOOSE(CONTROL!$C$29, 0.0272, 0)</f>
        <v>48.544899999999998</v>
      </c>
      <c r="C712" s="4">
        <f>48.1544 * CHOOSE(CONTROL!$C$10, $C$13, 100%, $E$13) + CHOOSE(CONTROL!$C$29, 0.0272, 0)</f>
        <v>48.181600000000003</v>
      </c>
      <c r="D712" s="4">
        <f>61.9894 * CHOOSE(CONTROL!$C$10, $C$13, 100%, $E$13) + CHOOSE(CONTROL!$C$29, 0.0021, 0)</f>
        <v>61.991500000000002</v>
      </c>
      <c r="E712" s="4">
        <f>312.443825657706 * CHOOSE(CONTROL!$C$10, $C$13, 100%, $E$13) + CHOOSE(CONTROL!$C$29, 0.0021, 0)</f>
        <v>312.44592565770597</v>
      </c>
    </row>
    <row r="713" spans="1:5" ht="15">
      <c r="A713" s="13">
        <v>62854</v>
      </c>
      <c r="B713" s="4">
        <f>46.5267 * CHOOSE(CONTROL!$C$10, $C$13, 100%, $E$13) + CHOOSE(CONTROL!$C$29, 0.0272, 0)</f>
        <v>46.553899999999999</v>
      </c>
      <c r="C713" s="4">
        <f>46.1635 * CHOOSE(CONTROL!$C$10, $C$13, 100%, $E$13) + CHOOSE(CONTROL!$C$29, 0.0272, 0)</f>
        <v>46.1907</v>
      </c>
      <c r="D713" s="4">
        <f>59.4385 * CHOOSE(CONTROL!$C$10, $C$13, 100%, $E$13) + CHOOSE(CONTROL!$C$29, 0.0021, 0)</f>
        <v>59.440599999999996</v>
      </c>
      <c r="E713" s="4">
        <f>299.429270731659 * CHOOSE(CONTROL!$C$10, $C$13, 100%, $E$13) + CHOOSE(CONTROL!$C$29, 0.0021, 0)</f>
        <v>299.431370731659</v>
      </c>
    </row>
    <row r="714" spans="1:5" ht="15">
      <c r="A714" s="13">
        <v>62883</v>
      </c>
      <c r="B714" s="4">
        <f>47.6131 * CHOOSE(CONTROL!$C$10, $C$13, 100%, $E$13) + CHOOSE(CONTROL!$C$29, 0.0272, 0)</f>
        <v>47.640300000000003</v>
      </c>
      <c r="C714" s="4">
        <f>47.2498 * CHOOSE(CONTROL!$C$10, $C$13, 100%, $E$13) + CHOOSE(CONTROL!$C$29, 0.0272, 0)</f>
        <v>47.277000000000001</v>
      </c>
      <c r="D714" s="4">
        <f>61.471 * CHOOSE(CONTROL!$C$10, $C$13, 100%, $E$13) + CHOOSE(CONTROL!$C$29, 0.0021, 0)</f>
        <v>61.473099999999995</v>
      </c>
      <c r="E714" s="4">
        <f>306.538901642469 * CHOOSE(CONTROL!$C$10, $C$13, 100%, $E$13) + CHOOSE(CONTROL!$C$29, 0.0021, 0)</f>
        <v>306.54100164246898</v>
      </c>
    </row>
    <row r="715" spans="1:5" ht="15">
      <c r="A715" s="13">
        <v>62914</v>
      </c>
      <c r="B715" s="4">
        <f>50.466 * CHOOSE(CONTROL!$C$10, $C$13, 100%, $E$13) + CHOOSE(CONTROL!$C$29, 0.0272, 0)</f>
        <v>50.493200000000002</v>
      </c>
      <c r="C715" s="4">
        <f>50.1027 * CHOOSE(CONTROL!$C$10, $C$13, 100%, $E$13) + CHOOSE(CONTROL!$C$29, 0.0272, 0)</f>
        <v>50.129899999999999</v>
      </c>
      <c r="D715" s="4">
        <f>64.6526 * CHOOSE(CONTROL!$C$10, $C$13, 100%, $E$13) + CHOOSE(CONTROL!$C$29, 0.0021, 0)</f>
        <v>64.654700000000005</v>
      </c>
      <c r="E715" s="4">
        <f>325.209170242987 * CHOOSE(CONTROL!$C$10, $C$13, 100%, $E$13) + CHOOSE(CONTROL!$C$29, 0.0021, 0)</f>
        <v>325.21127024298698</v>
      </c>
    </row>
    <row r="716" spans="1:5" ht="15">
      <c r="A716" s="13">
        <v>62944</v>
      </c>
      <c r="B716" s="4">
        <f>52.4929 * CHOOSE(CONTROL!$C$10, $C$13, 100%, $E$13) + CHOOSE(CONTROL!$C$29, 0.0272, 0)</f>
        <v>52.520099999999999</v>
      </c>
      <c r="C716" s="4">
        <f>52.1297 * CHOOSE(CONTROL!$C$10, $C$13, 100%, $E$13) + CHOOSE(CONTROL!$C$29, 0.0272, 0)</f>
        <v>52.1569</v>
      </c>
      <c r="D716" s="4">
        <f>66.4854 * CHOOSE(CONTROL!$C$10, $C$13, 100%, $E$13) + CHOOSE(CONTROL!$C$29, 0.0021, 0)</f>
        <v>66.487499999999997</v>
      </c>
      <c r="E716" s="4">
        <f>338.474644897699 * CHOOSE(CONTROL!$C$10, $C$13, 100%, $E$13) + CHOOSE(CONTROL!$C$29, 0.0021, 0)</f>
        <v>338.47674489769901</v>
      </c>
    </row>
    <row r="717" spans="1:5" ht="15">
      <c r="A717" s="13">
        <v>62975</v>
      </c>
      <c r="B717" s="4">
        <f>53.7314 * CHOOSE(CONTROL!$C$10, $C$13, 100%, $E$13) + CHOOSE(CONTROL!$C$29, 0.0272, 0)</f>
        <v>53.758600000000001</v>
      </c>
      <c r="C717" s="4">
        <f>53.3681 * CHOOSE(CONTROL!$C$10, $C$13, 100%, $E$13) + CHOOSE(CONTROL!$C$29, 0.0272, 0)</f>
        <v>53.395299999999999</v>
      </c>
      <c r="D717" s="4">
        <f>65.7611 * CHOOSE(CONTROL!$C$10, $C$13, 100%, $E$13) + CHOOSE(CONTROL!$C$29, 0.0021, 0)</f>
        <v>65.763199999999998</v>
      </c>
      <c r="E717" s="4">
        <f>346.579531982672 * CHOOSE(CONTROL!$C$10, $C$13, 100%, $E$13) + CHOOSE(CONTROL!$C$29, 0.0021, 0)</f>
        <v>346.58163198267198</v>
      </c>
    </row>
    <row r="718" spans="1:5" ht="15">
      <c r="A718" s="13">
        <v>63005</v>
      </c>
      <c r="B718" s="4">
        <f>53.8989 * CHOOSE(CONTROL!$C$10, $C$13, 100%, $E$13) + CHOOSE(CONTROL!$C$29, 0.0272, 0)</f>
        <v>53.926099999999998</v>
      </c>
      <c r="C718" s="4">
        <f>53.5357 * CHOOSE(CONTROL!$C$10, $C$13, 100%, $E$13) + CHOOSE(CONTROL!$C$29, 0.0272, 0)</f>
        <v>53.562899999999999</v>
      </c>
      <c r="D718" s="4">
        <f>66.351 * CHOOSE(CONTROL!$C$10, $C$13, 100%, $E$13) + CHOOSE(CONTROL!$C$29, 0.0021, 0)</f>
        <v>66.353099999999998</v>
      </c>
      <c r="E718" s="4">
        <f>347.676156841241 * CHOOSE(CONTROL!$C$10, $C$13, 100%, $E$13) + CHOOSE(CONTROL!$C$29, 0.0021, 0)</f>
        <v>347.67825684124097</v>
      </c>
    </row>
    <row r="719" spans="1:5" ht="15">
      <c r="A719" s="13">
        <v>63036</v>
      </c>
      <c r="B719" s="4">
        <f>53.8821 * CHOOSE(CONTROL!$C$10, $C$13, 100%, $E$13) + CHOOSE(CONTROL!$C$29, 0.0272, 0)</f>
        <v>53.909300000000002</v>
      </c>
      <c r="C719" s="4">
        <f>53.5188 * CHOOSE(CONTROL!$C$10, $C$13, 100%, $E$13) + CHOOSE(CONTROL!$C$29, 0.0272, 0)</f>
        <v>53.545999999999999</v>
      </c>
      <c r="D719" s="4">
        <f>67.4152 * CHOOSE(CONTROL!$C$10, $C$13, 100%, $E$13) + CHOOSE(CONTROL!$C$29, 0.0021, 0)</f>
        <v>67.417299999999997</v>
      </c>
      <c r="E719" s="4">
        <f>347.56557282189 * CHOOSE(CONTROL!$C$10, $C$13, 100%, $E$13) + CHOOSE(CONTROL!$C$29, 0.0021, 0)</f>
        <v>347.56767282188997</v>
      </c>
    </row>
    <row r="720" spans="1:5" ht="15">
      <c r="A720" s="13">
        <v>63067</v>
      </c>
      <c r="B720" s="4">
        <f>55.1536 * CHOOSE(CONTROL!$C$10, $C$13, 100%, $E$13) + CHOOSE(CONTROL!$C$29, 0.0272, 0)</f>
        <v>55.180799999999998</v>
      </c>
      <c r="C720" s="4">
        <f>54.7903 * CHOOSE(CONTROL!$C$10, $C$13, 100%, $E$13) + CHOOSE(CONTROL!$C$29, 0.0272, 0)</f>
        <v>54.817500000000003</v>
      </c>
      <c r="D720" s="4">
        <f>66.7124 * CHOOSE(CONTROL!$C$10, $C$13, 100%, $E$13) + CHOOSE(CONTROL!$C$29, 0.0021, 0)</f>
        <v>66.714500000000001</v>
      </c>
      <c r="E720" s="4">
        <f>355.887020278093 * CHOOSE(CONTROL!$C$10, $C$13, 100%, $E$13) + CHOOSE(CONTROL!$C$29, 0.0021, 0)</f>
        <v>355.889120278093</v>
      </c>
    </row>
    <row r="721" spans="1:5" ht="15">
      <c r="A721" s="13">
        <v>63097</v>
      </c>
      <c r="B721" s="4">
        <f>52.9865 * CHOOSE(CONTROL!$C$10, $C$13, 100%, $E$13) + CHOOSE(CONTROL!$C$29, 0.0272, 0)</f>
        <v>53.0137</v>
      </c>
      <c r="C721" s="4">
        <f>52.6232 * CHOOSE(CONTROL!$C$10, $C$13, 100%, $E$13) + CHOOSE(CONTROL!$C$29, 0.0272, 0)</f>
        <v>52.650399999999998</v>
      </c>
      <c r="D721" s="4">
        <f>66.3803 * CHOOSE(CONTROL!$C$10, $C$13, 100%, $E$13) + CHOOSE(CONTROL!$C$29, 0.0021, 0)</f>
        <v>66.382400000000004</v>
      </c>
      <c r="E721" s="4">
        <f>341.704619796258 * CHOOSE(CONTROL!$C$10, $C$13, 100%, $E$13) + CHOOSE(CONTROL!$C$29, 0.0021, 0)</f>
        <v>341.70671979625797</v>
      </c>
    </row>
    <row r="722" spans="1:5" ht="15">
      <c r="A722" s="13">
        <v>63128</v>
      </c>
      <c r="B722" s="4">
        <f>51.2517 * CHOOSE(CONTROL!$C$10, $C$13, 100%, $E$13) + CHOOSE(CONTROL!$C$29, 0.0272, 0)</f>
        <v>51.2789</v>
      </c>
      <c r="C722" s="4">
        <f>50.8884 * CHOOSE(CONTROL!$C$10, $C$13, 100%, $E$13) + CHOOSE(CONTROL!$C$29, 0.0272, 0)</f>
        <v>50.915599999999998</v>
      </c>
      <c r="D722" s="4">
        <f>65.4912 * CHOOSE(CONTROL!$C$10, $C$13, 100%, $E$13) + CHOOSE(CONTROL!$C$29, 0.0021, 0)</f>
        <v>65.493300000000005</v>
      </c>
      <c r="E722" s="4">
        <f>330.351327142833 * CHOOSE(CONTROL!$C$10, $C$13, 100%, $E$13) + CHOOSE(CONTROL!$C$29, 0.0021, 0)</f>
        <v>330.35342714283297</v>
      </c>
    </row>
    <row r="723" spans="1:5" ht="15">
      <c r="A723" s="13">
        <v>63158</v>
      </c>
      <c r="B723" s="4">
        <f>50.1343 * CHOOSE(CONTROL!$C$10, $C$13, 100%, $E$13) + CHOOSE(CONTROL!$C$29, 0.0272, 0)</f>
        <v>50.161500000000004</v>
      </c>
      <c r="C723" s="4">
        <f>49.7711 * CHOOSE(CONTROL!$C$10, $C$13, 100%, $E$13) + CHOOSE(CONTROL!$C$29, 0.0272, 0)</f>
        <v>49.798299999999998</v>
      </c>
      <c r="D723" s="4">
        <f>65.1855 * CHOOSE(CONTROL!$C$10, $C$13, 100%, $E$13) + CHOOSE(CONTROL!$C$29, 0.0021, 0)</f>
        <v>65.187600000000003</v>
      </c>
      <c r="E723" s="4">
        <f>323.038958863213 * CHOOSE(CONTROL!$C$10, $C$13, 100%, $E$13) + CHOOSE(CONTROL!$C$29, 0.0021, 0)</f>
        <v>323.04105886321298</v>
      </c>
    </row>
    <row r="724" spans="1:5" ht="15">
      <c r="A724" s="13">
        <v>63189</v>
      </c>
      <c r="B724" s="4">
        <f>49.3613 * CHOOSE(CONTROL!$C$10, $C$13, 100%, $E$13) + CHOOSE(CONTROL!$C$29, 0.0272, 0)</f>
        <v>49.388500000000001</v>
      </c>
      <c r="C724" s="4">
        <f>48.998 * CHOOSE(CONTROL!$C$10, $C$13, 100%, $E$13) + CHOOSE(CONTROL!$C$29, 0.0272, 0)</f>
        <v>49.025199999999998</v>
      </c>
      <c r="D724" s="4">
        <f>62.935 * CHOOSE(CONTROL!$C$10, $C$13, 100%, $E$13) + CHOOSE(CONTROL!$C$29, 0.0021, 0)</f>
        <v>62.937100000000001</v>
      </c>
      <c r="E724" s="4">
        <f>317.97973997788 * CHOOSE(CONTROL!$C$10, $C$13, 100%, $E$13) + CHOOSE(CONTROL!$C$29, 0.0021, 0)</f>
        <v>317.98183997787999</v>
      </c>
    </row>
    <row r="725" spans="1:5" ht="15">
      <c r="A725" s="13">
        <v>63220</v>
      </c>
      <c r="B725" s="4">
        <f>47.3351 * CHOOSE(CONTROL!$C$10, $C$13, 100%, $E$13) + CHOOSE(CONTROL!$C$29, 0.0272, 0)</f>
        <v>47.362299999999998</v>
      </c>
      <c r="C725" s="4">
        <f>46.9718 * CHOOSE(CONTROL!$C$10, $C$13, 100%, $E$13) + CHOOSE(CONTROL!$C$29, 0.0272, 0)</f>
        <v>46.999000000000002</v>
      </c>
      <c r="D725" s="4">
        <f>60.344 * CHOOSE(CONTROL!$C$10, $C$13, 100%, $E$13) + CHOOSE(CONTROL!$C$29, 0.0021, 0)</f>
        <v>60.3461</v>
      </c>
      <c r="E725" s="4">
        <f>304.734591725708 * CHOOSE(CONTROL!$C$10, $C$13, 100%, $E$13) + CHOOSE(CONTROL!$C$29, 0.0021, 0)</f>
        <v>304.736691725708</v>
      </c>
    </row>
    <row r="726" spans="1:5" ht="15">
      <c r="A726" s="13">
        <v>63248</v>
      </c>
      <c r="B726" s="4">
        <f>48.4407 * CHOOSE(CONTROL!$C$10, $C$13, 100%, $E$13) + CHOOSE(CONTROL!$C$29, 0.0272, 0)</f>
        <v>48.4679</v>
      </c>
      <c r="C726" s="4">
        <f>48.0774 * CHOOSE(CONTROL!$C$10, $C$13, 100%, $E$13) + CHOOSE(CONTROL!$C$29, 0.0272, 0)</f>
        <v>48.104599999999998</v>
      </c>
      <c r="D726" s="4">
        <f>62.4085 * CHOOSE(CONTROL!$C$10, $C$13, 100%, $E$13) + CHOOSE(CONTROL!$C$29, 0.0021, 0)</f>
        <v>62.410599999999995</v>
      </c>
      <c r="E726" s="4">
        <f>311.970191864705 * CHOOSE(CONTROL!$C$10, $C$13, 100%, $E$13) + CHOOSE(CONTROL!$C$29, 0.0021, 0)</f>
        <v>311.97229186470497</v>
      </c>
    </row>
    <row r="727" spans="1:5" ht="15">
      <c r="A727" s="13">
        <v>63279</v>
      </c>
      <c r="B727" s="4">
        <f>51.3439 * CHOOSE(CONTROL!$C$10, $C$13, 100%, $E$13) + CHOOSE(CONTROL!$C$29, 0.0272, 0)</f>
        <v>51.371099999999998</v>
      </c>
      <c r="C727" s="4">
        <f>50.9807 * CHOOSE(CONTROL!$C$10, $C$13, 100%, $E$13) + CHOOSE(CONTROL!$C$29, 0.0272, 0)</f>
        <v>51.007899999999999</v>
      </c>
      <c r="D727" s="4">
        <f>65.6402 * CHOOSE(CONTROL!$C$10, $C$13, 100%, $E$13) + CHOOSE(CONTROL!$C$29, 0.0021, 0)</f>
        <v>65.642299999999992</v>
      </c>
      <c r="E727" s="4">
        <f>330.971262352857 * CHOOSE(CONTROL!$C$10, $C$13, 100%, $E$13) + CHOOSE(CONTROL!$C$29, 0.0021, 0)</f>
        <v>330.97336235285701</v>
      </c>
    </row>
    <row r="728" spans="1:5" ht="15">
      <c r="A728" s="13">
        <v>63309</v>
      </c>
      <c r="B728" s="4">
        <f>53.4067 * CHOOSE(CONTROL!$C$10, $C$13, 100%, $E$13) + CHOOSE(CONTROL!$C$29, 0.0272, 0)</f>
        <v>53.433900000000001</v>
      </c>
      <c r="C728" s="4">
        <f>53.0435 * CHOOSE(CONTROL!$C$10, $C$13, 100%, $E$13) + CHOOSE(CONTROL!$C$29, 0.0272, 0)</f>
        <v>53.070700000000002</v>
      </c>
      <c r="D728" s="4">
        <f>67.5017 * CHOOSE(CONTROL!$C$10, $C$13, 100%, $E$13) + CHOOSE(CONTROL!$C$29, 0.0021, 0)</f>
        <v>67.503799999999998</v>
      </c>
      <c r="E728" s="4">
        <f>344.471776157248 * CHOOSE(CONTROL!$C$10, $C$13, 100%, $E$13) + CHOOSE(CONTROL!$C$29, 0.0021, 0)</f>
        <v>344.47387615724796</v>
      </c>
    </row>
    <row r="729" spans="1:5" ht="15">
      <c r="A729" s="13">
        <v>63340</v>
      </c>
      <c r="B729" s="4">
        <f>54.6671 * CHOOSE(CONTROL!$C$10, $C$13, 100%, $E$13) + CHOOSE(CONTROL!$C$29, 0.0272, 0)</f>
        <v>54.694299999999998</v>
      </c>
      <c r="C729" s="4">
        <f>54.3038 * CHOOSE(CONTROL!$C$10, $C$13, 100%, $E$13) + CHOOSE(CONTROL!$C$29, 0.0272, 0)</f>
        <v>54.331000000000003</v>
      </c>
      <c r="D729" s="4">
        <f>66.7661 * CHOOSE(CONTROL!$C$10, $C$13, 100%, $E$13) + CHOOSE(CONTROL!$C$29, 0.0021, 0)</f>
        <v>66.768199999999993</v>
      </c>
      <c r="E729" s="4">
        <f>352.720266529573 * CHOOSE(CONTROL!$C$10, $C$13, 100%, $E$13) + CHOOSE(CONTROL!$C$29, 0.0021, 0)</f>
        <v>352.72236652957298</v>
      </c>
    </row>
    <row r="730" spans="1:5" ht="15">
      <c r="A730" s="13">
        <v>63370</v>
      </c>
      <c r="B730" s="4">
        <f>54.8376 * CHOOSE(CONTROL!$C$10, $C$13, 100%, $E$13) + CHOOSE(CONTROL!$C$29, 0.0272, 0)</f>
        <v>54.864800000000002</v>
      </c>
      <c r="C730" s="4">
        <f>54.4743 * CHOOSE(CONTROL!$C$10, $C$13, 100%, $E$13) + CHOOSE(CONTROL!$C$29, 0.0272, 0)</f>
        <v>54.5015</v>
      </c>
      <c r="D730" s="4">
        <f>67.3652 * CHOOSE(CONTROL!$C$10, $C$13, 100%, $E$13) + CHOOSE(CONTROL!$C$29, 0.0021, 0)</f>
        <v>67.3673</v>
      </c>
      <c r="E730" s="4">
        <f>353.836321508887 * CHOOSE(CONTROL!$C$10, $C$13, 100%, $E$13) + CHOOSE(CONTROL!$C$29, 0.0021, 0)</f>
        <v>353.838421508887</v>
      </c>
    </row>
    <row r="731" spans="1:5" ht="15">
      <c r="A731" s="13">
        <v>63401</v>
      </c>
      <c r="B731" s="4">
        <f>54.8204 * CHOOSE(CONTROL!$C$10, $C$13, 100%, $E$13) + CHOOSE(CONTROL!$C$29, 0.0272, 0)</f>
        <v>54.8476</v>
      </c>
      <c r="C731" s="4">
        <f>54.4571 * CHOOSE(CONTROL!$C$10, $C$13, 100%, $E$13) + CHOOSE(CONTROL!$C$29, 0.0272, 0)</f>
        <v>54.484299999999998</v>
      </c>
      <c r="D731" s="4">
        <f>68.4462 * CHOOSE(CONTROL!$C$10, $C$13, 100%, $E$13) + CHOOSE(CONTROL!$C$29, 0.0021, 0)</f>
        <v>68.448300000000003</v>
      </c>
      <c r="E731" s="4">
        <f>353.723778149628 * CHOOSE(CONTROL!$C$10, $C$13, 100%, $E$13) + CHOOSE(CONTROL!$C$29, 0.0021, 0)</f>
        <v>353.72587814962799</v>
      </c>
    </row>
    <row r="732" spans="1:5" ht="15">
      <c r="A732" s="13">
        <v>63432</v>
      </c>
      <c r="B732" s="4">
        <f>56.1144 * CHOOSE(CONTROL!$C$10, $C$13, 100%, $E$13) + CHOOSE(CONTROL!$C$29, 0.0272, 0)</f>
        <v>56.141600000000004</v>
      </c>
      <c r="C732" s="4">
        <f>55.7511 * CHOOSE(CONTROL!$C$10, $C$13, 100%, $E$13) + CHOOSE(CONTROL!$C$29, 0.0272, 0)</f>
        <v>55.778300000000002</v>
      </c>
      <c r="D732" s="4">
        <f>67.7323 * CHOOSE(CONTROL!$C$10, $C$13, 100%, $E$13) + CHOOSE(CONTROL!$C$29, 0.0021, 0)</f>
        <v>67.734399999999994</v>
      </c>
      <c r="E732" s="4">
        <f>362.192665933834 * CHOOSE(CONTROL!$C$10, $C$13, 100%, $E$13) + CHOOSE(CONTROL!$C$29, 0.0021, 0)</f>
        <v>362.19476593383399</v>
      </c>
    </row>
    <row r="733" spans="1:5" ht="15">
      <c r="A733" s="13">
        <v>63462</v>
      </c>
      <c r="B733" s="4">
        <f>53.909 * CHOOSE(CONTROL!$C$10, $C$13, 100%, $E$13) + CHOOSE(CONTROL!$C$29, 0.0272, 0)</f>
        <v>53.936199999999999</v>
      </c>
      <c r="C733" s="4">
        <f>53.5457 * CHOOSE(CONTROL!$C$10, $C$13, 100%, $E$13) + CHOOSE(CONTROL!$C$29, 0.0272, 0)</f>
        <v>53.572899999999997</v>
      </c>
      <c r="D733" s="4">
        <f>67.395 * CHOOSE(CONTROL!$C$10, $C$13, 100%, $E$13) + CHOOSE(CONTROL!$C$29, 0.0021, 0)</f>
        <v>67.397099999999995</v>
      </c>
      <c r="E733" s="4">
        <f>347.758980108925 * CHOOSE(CONTROL!$C$10, $C$13, 100%, $E$13) + CHOOSE(CONTROL!$C$29, 0.0021, 0)</f>
        <v>347.761080108925</v>
      </c>
    </row>
    <row r="734" spans="1:5" ht="15">
      <c r="A734" s="13">
        <v>63493</v>
      </c>
      <c r="B734" s="4">
        <f>52.1435 * CHOOSE(CONTROL!$C$10, $C$13, 100%, $E$13) + CHOOSE(CONTROL!$C$29, 0.0272, 0)</f>
        <v>52.170700000000004</v>
      </c>
      <c r="C734" s="4">
        <f>51.7803 * CHOOSE(CONTROL!$C$10, $C$13, 100%, $E$13) + CHOOSE(CONTROL!$C$29, 0.0272, 0)</f>
        <v>51.807499999999997</v>
      </c>
      <c r="D734" s="4">
        <f>66.4919 * CHOOSE(CONTROL!$C$10, $C$13, 100%, $E$13) + CHOOSE(CONTROL!$C$29, 0.0021, 0)</f>
        <v>66.494</v>
      </c>
      <c r="E734" s="4">
        <f>336.20452855838 * CHOOSE(CONTROL!$C$10, $C$13, 100%, $E$13) + CHOOSE(CONTROL!$C$29, 0.0021, 0)</f>
        <v>336.20662855837998</v>
      </c>
    </row>
    <row r="735" spans="1:5" ht="15">
      <c r="A735" s="13">
        <v>63523</v>
      </c>
      <c r="B735" s="4">
        <f>51.0065 * CHOOSE(CONTROL!$C$10, $C$13, 100%, $E$13) + CHOOSE(CONTROL!$C$29, 0.0272, 0)</f>
        <v>51.033700000000003</v>
      </c>
      <c r="C735" s="4">
        <f>50.6432 * CHOOSE(CONTROL!$C$10, $C$13, 100%, $E$13) + CHOOSE(CONTROL!$C$29, 0.0272, 0)</f>
        <v>50.670400000000001</v>
      </c>
      <c r="D735" s="4">
        <f>66.1814 * CHOOSE(CONTROL!$C$10, $C$13, 100%, $E$13) + CHOOSE(CONTROL!$C$29, 0.0021, 0)</f>
        <v>66.183499999999995</v>
      </c>
      <c r="E735" s="4">
        <f>328.762598927408 * CHOOSE(CONTROL!$C$10, $C$13, 100%, $E$13) + CHOOSE(CONTROL!$C$29, 0.0021, 0)</f>
        <v>328.76469892740801</v>
      </c>
    </row>
    <row r="736" spans="1:5" ht="15">
      <c r="A736" s="13">
        <v>63554</v>
      </c>
      <c r="B736" s="4">
        <f>50.2198 * CHOOSE(CONTROL!$C$10, $C$13, 100%, $E$13) + CHOOSE(CONTROL!$C$29, 0.0272, 0)</f>
        <v>50.247</v>
      </c>
      <c r="C736" s="4">
        <f>49.8565 * CHOOSE(CONTROL!$C$10, $C$13, 100%, $E$13) + CHOOSE(CONTROL!$C$29, 0.0272, 0)</f>
        <v>49.883699999999997</v>
      </c>
      <c r="D736" s="4">
        <f>63.8955 * CHOOSE(CONTROL!$C$10, $C$13, 100%, $E$13) + CHOOSE(CONTROL!$C$29, 0.0021, 0)</f>
        <v>63.897599999999997</v>
      </c>
      <c r="E736" s="4">
        <f>323.61374024133 * CHOOSE(CONTROL!$C$10, $C$13, 100%, $E$13) + CHOOSE(CONTROL!$C$29, 0.0021, 0)</f>
        <v>323.61584024132998</v>
      </c>
    </row>
    <row r="737" spans="1:5" ht="15">
      <c r="A737" s="13">
        <v>63585</v>
      </c>
      <c r="B737" s="4">
        <f>48.1578 * CHOOSE(CONTROL!$C$10, $C$13, 100%, $E$13) + CHOOSE(CONTROL!$C$29, 0.0272, 0)</f>
        <v>48.185000000000002</v>
      </c>
      <c r="C737" s="4">
        <f>47.7945 * CHOOSE(CONTROL!$C$10, $C$13, 100%, $E$13) + CHOOSE(CONTROL!$C$29, 0.0272, 0)</f>
        <v>47.8217</v>
      </c>
      <c r="D737" s="4">
        <f>61.2638 * CHOOSE(CONTROL!$C$10, $C$13, 100%, $E$13) + CHOOSE(CONTROL!$C$29, 0.0021, 0)</f>
        <v>61.265900000000002</v>
      </c>
      <c r="E737" s="4">
        <f>310.133912984931 * CHOOSE(CONTROL!$C$10, $C$13, 100%, $E$13) + CHOOSE(CONTROL!$C$29, 0.0021, 0)</f>
        <v>310.13601298493097</v>
      </c>
    </row>
    <row r="738" spans="1:5" ht="15">
      <c r="A738" s="13">
        <v>63613</v>
      </c>
      <c r="B738" s="4">
        <f>49.2829 * CHOOSE(CONTROL!$C$10, $C$13, 100%, $E$13) + CHOOSE(CONTROL!$C$29, 0.0272, 0)</f>
        <v>49.310099999999998</v>
      </c>
      <c r="C738" s="4">
        <f>48.9196 * CHOOSE(CONTROL!$C$10, $C$13, 100%, $E$13) + CHOOSE(CONTROL!$C$29, 0.0272, 0)</f>
        <v>48.946800000000003</v>
      </c>
      <c r="D738" s="4">
        <f>63.3607 * CHOOSE(CONTROL!$C$10, $C$13, 100%, $E$13) + CHOOSE(CONTROL!$C$29, 0.0021, 0)</f>
        <v>63.3628</v>
      </c>
      <c r="E738" s="4">
        <f>317.497714288859 * CHOOSE(CONTROL!$C$10, $C$13, 100%, $E$13) + CHOOSE(CONTROL!$C$29, 0.0021, 0)</f>
        <v>317.499814288859</v>
      </c>
    </row>
    <row r="739" spans="1:5" ht="15">
      <c r="A739" s="13">
        <v>63644</v>
      </c>
      <c r="B739" s="4">
        <f>52.2374 * CHOOSE(CONTROL!$C$10, $C$13, 100%, $E$13) + CHOOSE(CONTROL!$C$29, 0.0272, 0)</f>
        <v>52.264600000000002</v>
      </c>
      <c r="C739" s="4">
        <f>51.8741 * CHOOSE(CONTROL!$C$10, $C$13, 100%, $E$13) + CHOOSE(CONTROL!$C$29, 0.0272, 0)</f>
        <v>51.901299999999999</v>
      </c>
      <c r="D739" s="4">
        <f>66.6432 * CHOOSE(CONTROL!$C$10, $C$13, 100%, $E$13) + CHOOSE(CONTROL!$C$29, 0.0021, 0)</f>
        <v>66.645299999999992</v>
      </c>
      <c r="E739" s="4">
        <f>336.835447849141 * CHOOSE(CONTROL!$C$10, $C$13, 100%, $E$13) + CHOOSE(CONTROL!$C$29, 0.0021, 0)</f>
        <v>336.837547849141</v>
      </c>
    </row>
    <row r="740" spans="1:5" ht="15">
      <c r="A740" s="13">
        <v>63674</v>
      </c>
      <c r="B740" s="4">
        <f>54.3367 * CHOOSE(CONTROL!$C$10, $C$13, 100%, $E$13) + CHOOSE(CONTROL!$C$29, 0.0272, 0)</f>
        <v>54.363900000000001</v>
      </c>
      <c r="C740" s="4">
        <f>53.9734 * CHOOSE(CONTROL!$C$10, $C$13, 100%, $E$13) + CHOOSE(CONTROL!$C$29, 0.0272, 0)</f>
        <v>54.000599999999999</v>
      </c>
      <c r="D740" s="4">
        <f>68.5341 * CHOOSE(CONTROL!$C$10, $C$13, 100%, $E$13) + CHOOSE(CONTROL!$C$29, 0.0021, 0)</f>
        <v>68.536199999999994</v>
      </c>
      <c r="E740" s="4">
        <f>350.575165252905 * CHOOSE(CONTROL!$C$10, $C$13, 100%, $E$13) + CHOOSE(CONTROL!$C$29, 0.0021, 0)</f>
        <v>350.57726525290497</v>
      </c>
    </row>
    <row r="741" spans="1:5" ht="15">
      <c r="A741" s="13">
        <v>63705</v>
      </c>
      <c r="B741" s="4">
        <f>55.6193 * CHOOSE(CONTROL!$C$10, $C$13, 100%, $E$13) + CHOOSE(CONTROL!$C$29, 0.0272, 0)</f>
        <v>55.646500000000003</v>
      </c>
      <c r="C741" s="4">
        <f>55.256 * CHOOSE(CONTROL!$C$10, $C$13, 100%, $E$13) + CHOOSE(CONTROL!$C$29, 0.0272, 0)</f>
        <v>55.283200000000001</v>
      </c>
      <c r="D741" s="4">
        <f>67.7869 * CHOOSE(CONTROL!$C$10, $C$13, 100%, $E$13) + CHOOSE(CONTROL!$C$29, 0.0021, 0)</f>
        <v>67.789000000000001</v>
      </c>
      <c r="E741" s="4">
        <f>358.969803291537 * CHOOSE(CONTROL!$C$10, $C$13, 100%, $E$13) + CHOOSE(CONTROL!$C$29, 0.0021, 0)</f>
        <v>358.97190329153699</v>
      </c>
    </row>
    <row r="742" spans="1:5" ht="15">
      <c r="A742" s="13">
        <v>63735</v>
      </c>
      <c r="B742" s="4">
        <f>55.7928 * CHOOSE(CONTROL!$C$10, $C$13, 100%, $E$13) + CHOOSE(CONTROL!$C$29, 0.0272, 0)</f>
        <v>55.82</v>
      </c>
      <c r="C742" s="4">
        <f>55.4295 * CHOOSE(CONTROL!$C$10, $C$13, 100%, $E$13) + CHOOSE(CONTROL!$C$29, 0.0272, 0)</f>
        <v>55.456699999999998</v>
      </c>
      <c r="D742" s="4">
        <f>68.3954 * CHOOSE(CONTROL!$C$10, $C$13, 100%, $E$13) + CHOOSE(CONTROL!$C$29, 0.0021, 0)</f>
        <v>68.397499999999994</v>
      </c>
      <c r="E742" s="4">
        <f>360.105632656628 * CHOOSE(CONTROL!$C$10, $C$13, 100%, $E$13) + CHOOSE(CONTROL!$C$29, 0.0021, 0)</f>
        <v>360.107732656628</v>
      </c>
    </row>
    <row r="743" spans="1:5" ht="15">
      <c r="A743" s="13">
        <v>63766</v>
      </c>
      <c r="B743" s="4">
        <f>55.7753 * CHOOSE(CONTROL!$C$10, $C$13, 100%, $E$13) + CHOOSE(CONTROL!$C$29, 0.0272, 0)</f>
        <v>55.802500000000002</v>
      </c>
      <c r="C743" s="4">
        <f>55.412 * CHOOSE(CONTROL!$C$10, $C$13, 100%, $E$13) + CHOOSE(CONTROL!$C$29, 0.0272, 0)</f>
        <v>55.4392</v>
      </c>
      <c r="D743" s="4">
        <f>69.4934 * CHOOSE(CONTROL!$C$10, $C$13, 100%, $E$13) + CHOOSE(CONTROL!$C$29, 0.0021, 0)</f>
        <v>69.495499999999993</v>
      </c>
      <c r="E743" s="4">
        <f>359.991095241661 * CHOOSE(CONTROL!$C$10, $C$13, 100%, $E$13) + CHOOSE(CONTROL!$C$29, 0.0021, 0)</f>
        <v>359.993195241661</v>
      </c>
    </row>
    <row r="744" spans="1:5" ht="15">
      <c r="A744" s="13">
        <v>63797</v>
      </c>
      <c r="B744" s="4">
        <f>57.0922 * CHOOSE(CONTROL!$C$10, $C$13, 100%, $E$13) + CHOOSE(CONTROL!$C$29, 0.0272, 0)</f>
        <v>57.119399999999999</v>
      </c>
      <c r="C744" s="4">
        <f>56.7289 * CHOOSE(CONTROL!$C$10, $C$13, 100%, $E$13) + CHOOSE(CONTROL!$C$29, 0.0272, 0)</f>
        <v>56.756100000000004</v>
      </c>
      <c r="D744" s="4">
        <f>68.7683 * CHOOSE(CONTROL!$C$10, $C$13, 100%, $E$13) + CHOOSE(CONTROL!$C$29, 0.0021, 0)</f>
        <v>68.770399999999995</v>
      </c>
      <c r="E744" s="4">
        <f>368.610035717937 * CHOOSE(CONTROL!$C$10, $C$13, 100%, $E$13) + CHOOSE(CONTROL!$C$29, 0.0021, 0)</f>
        <v>368.61213571793701</v>
      </c>
    </row>
    <row r="745" spans="1:5" ht="15">
      <c r="A745" s="13">
        <v>63827</v>
      </c>
      <c r="B745" s="4">
        <f>54.8478 * CHOOSE(CONTROL!$C$10, $C$13, 100%, $E$13) + CHOOSE(CONTROL!$C$29, 0.0272, 0)</f>
        <v>54.875</v>
      </c>
      <c r="C745" s="4">
        <f>54.4845 * CHOOSE(CONTROL!$C$10, $C$13, 100%, $E$13) + CHOOSE(CONTROL!$C$29, 0.0272, 0)</f>
        <v>54.511699999999998</v>
      </c>
      <c r="D745" s="4">
        <f>68.4257 * CHOOSE(CONTROL!$C$10, $C$13, 100%, $E$13) + CHOOSE(CONTROL!$C$29, 0.0021, 0)</f>
        <v>68.427800000000005</v>
      </c>
      <c r="E745" s="4">
        <f>353.920612248403 * CHOOSE(CONTROL!$C$10, $C$13, 100%, $E$13) + CHOOSE(CONTROL!$C$29, 0.0021, 0)</f>
        <v>353.922712248403</v>
      </c>
    </row>
    <row r="746" spans="1:5" ht="15">
      <c r="A746" s="13">
        <v>63858</v>
      </c>
      <c r="B746" s="4">
        <f>53.0512 * CHOOSE(CONTROL!$C$10, $C$13, 100%, $E$13) + CHOOSE(CONTROL!$C$29, 0.0272, 0)</f>
        <v>53.078400000000002</v>
      </c>
      <c r="C746" s="4">
        <f>52.6879 * CHOOSE(CONTROL!$C$10, $C$13, 100%, $E$13) + CHOOSE(CONTROL!$C$29, 0.0272, 0)</f>
        <v>52.7151</v>
      </c>
      <c r="D746" s="4">
        <f>67.5084 * CHOOSE(CONTROL!$C$10, $C$13, 100%, $E$13) + CHOOSE(CONTROL!$C$29, 0.0021, 0)</f>
        <v>67.510499999999993</v>
      </c>
      <c r="E746" s="4">
        <f>342.161437645112 * CHOOSE(CONTROL!$C$10, $C$13, 100%, $E$13) + CHOOSE(CONTROL!$C$29, 0.0021, 0)</f>
        <v>342.163537645112</v>
      </c>
    </row>
    <row r="747" spans="1:5" ht="15">
      <c r="A747" s="13">
        <v>63888</v>
      </c>
      <c r="B747" s="4">
        <f>51.894 * CHOOSE(CONTROL!$C$10, $C$13, 100%, $E$13) + CHOOSE(CONTROL!$C$29, 0.0272, 0)</f>
        <v>51.921199999999999</v>
      </c>
      <c r="C747" s="4">
        <f>51.5307 * CHOOSE(CONTROL!$C$10, $C$13, 100%, $E$13) + CHOOSE(CONTROL!$C$29, 0.0272, 0)</f>
        <v>51.557900000000004</v>
      </c>
      <c r="D747" s="4">
        <f>67.193 * CHOOSE(CONTROL!$C$10, $C$13, 100%, $E$13) + CHOOSE(CONTROL!$C$29, 0.0021, 0)</f>
        <v>67.195099999999996</v>
      </c>
      <c r="E747" s="4">
        <f>334.587651080411 * CHOOSE(CONTROL!$C$10, $C$13, 100%, $E$13) + CHOOSE(CONTROL!$C$29, 0.0021, 0)</f>
        <v>334.58975108041096</v>
      </c>
    </row>
    <row r="748" spans="1:5" ht="15">
      <c r="A748" s="13">
        <v>63919</v>
      </c>
      <c r="B748" s="4">
        <f>51.0934 * CHOOSE(CONTROL!$C$10, $C$13, 100%, $E$13) + CHOOSE(CONTROL!$C$29, 0.0272, 0)</f>
        <v>51.120600000000003</v>
      </c>
      <c r="C748" s="4">
        <f>50.7301 * CHOOSE(CONTROL!$C$10, $C$13, 100%, $E$13) + CHOOSE(CONTROL!$C$29, 0.0272, 0)</f>
        <v>50.757300000000001</v>
      </c>
      <c r="D748" s="4">
        <f>64.8712 * CHOOSE(CONTROL!$C$10, $C$13, 100%, $E$13) + CHOOSE(CONTROL!$C$29, 0.0021, 0)</f>
        <v>64.8733</v>
      </c>
      <c r="E748" s="4">
        <f>329.347564345666 * CHOOSE(CONTROL!$C$10, $C$13, 100%, $E$13) + CHOOSE(CONTROL!$C$29, 0.0021, 0)</f>
        <v>329.34966434566599</v>
      </c>
    </row>
    <row r="749" spans="1:5" ht="15">
      <c r="A749" s="13">
        <v>63950</v>
      </c>
      <c r="B749" s="4">
        <f>48.995 * CHOOSE(CONTROL!$C$10, $C$13, 100%, $E$13) + CHOOSE(CONTROL!$C$29, 0.0272, 0)</f>
        <v>49.022199999999998</v>
      </c>
      <c r="C749" s="4">
        <f>48.6317 * CHOOSE(CONTROL!$C$10, $C$13, 100%, $E$13) + CHOOSE(CONTROL!$C$29, 0.0272, 0)</f>
        <v>48.658900000000003</v>
      </c>
      <c r="D749" s="4">
        <f>62.1981 * CHOOSE(CONTROL!$C$10, $C$13, 100%, $E$13) + CHOOSE(CONTROL!$C$29, 0.0021, 0)</f>
        <v>62.200199999999995</v>
      </c>
      <c r="E749" s="4">
        <f>315.628900016442 * CHOOSE(CONTROL!$C$10, $C$13, 100%, $E$13) + CHOOSE(CONTROL!$C$29, 0.0021, 0)</f>
        <v>315.63100001644199</v>
      </c>
    </row>
    <row r="750" spans="1:5" ht="15">
      <c r="A750" s="13">
        <v>63978</v>
      </c>
      <c r="B750" s="4">
        <f>50.14 * CHOOSE(CONTROL!$C$10, $C$13, 100%, $E$13) + CHOOSE(CONTROL!$C$29, 0.0272, 0)</f>
        <v>50.167200000000001</v>
      </c>
      <c r="C750" s="4">
        <f>49.7767 * CHOOSE(CONTROL!$C$10, $C$13, 100%, $E$13) + CHOOSE(CONTROL!$C$29, 0.0272, 0)</f>
        <v>49.803899999999999</v>
      </c>
      <c r="D750" s="4">
        <f>64.3279 * CHOOSE(CONTROL!$C$10, $C$13, 100%, $E$13) + CHOOSE(CONTROL!$C$29, 0.0021, 0)</f>
        <v>64.33</v>
      </c>
      <c r="E750" s="4">
        <f>323.123173967745 * CHOOSE(CONTROL!$C$10, $C$13, 100%, $E$13) + CHOOSE(CONTROL!$C$29, 0.0021, 0)</f>
        <v>323.12527396774499</v>
      </c>
    </row>
    <row r="751" spans="1:5" ht="15">
      <c r="A751" s="13">
        <v>64009</v>
      </c>
      <c r="B751" s="4">
        <f>53.1467 * CHOOSE(CONTROL!$C$10, $C$13, 100%, $E$13) + CHOOSE(CONTROL!$C$29, 0.0272, 0)</f>
        <v>53.173900000000003</v>
      </c>
      <c r="C751" s="4">
        <f>52.7834 * CHOOSE(CONTROL!$C$10, $C$13, 100%, $E$13) + CHOOSE(CONTROL!$C$29, 0.0272, 0)</f>
        <v>52.810600000000001</v>
      </c>
      <c r="D751" s="4">
        <f>67.6621 * CHOOSE(CONTROL!$C$10, $C$13, 100%, $E$13) + CHOOSE(CONTROL!$C$29, 0.0021, 0)</f>
        <v>67.664199999999994</v>
      </c>
      <c r="E751" s="4">
        <f>342.803535633769 * CHOOSE(CONTROL!$C$10, $C$13, 100%, $E$13) + CHOOSE(CONTROL!$C$29, 0.0021, 0)</f>
        <v>342.80563563376899</v>
      </c>
    </row>
    <row r="752" spans="1:5" ht="15">
      <c r="A752" s="13">
        <v>64039</v>
      </c>
      <c r="B752" s="4">
        <f>55.283 * CHOOSE(CONTROL!$C$10, $C$13, 100%, $E$13) + CHOOSE(CONTROL!$C$29, 0.0272, 0)</f>
        <v>55.310200000000002</v>
      </c>
      <c r="C752" s="4">
        <f>54.9198 * CHOOSE(CONTROL!$C$10, $C$13, 100%, $E$13) + CHOOSE(CONTROL!$C$29, 0.0272, 0)</f>
        <v>54.947000000000003</v>
      </c>
      <c r="D752" s="4">
        <f>69.5826 * CHOOSE(CONTROL!$C$10, $C$13, 100%, $E$13) + CHOOSE(CONTROL!$C$29, 0.0021, 0)</f>
        <v>69.584699999999998</v>
      </c>
      <c r="E752" s="4">
        <f>356.786694872784 * CHOOSE(CONTROL!$C$10, $C$13, 100%, $E$13) + CHOOSE(CONTROL!$C$29, 0.0021, 0)</f>
        <v>356.78879487278397</v>
      </c>
    </row>
    <row r="753" spans="1:5" ht="15">
      <c r="A753" s="13">
        <v>64070</v>
      </c>
      <c r="B753" s="4">
        <f>56.5883 * CHOOSE(CONTROL!$C$10, $C$13, 100%, $E$13) + CHOOSE(CONTROL!$C$29, 0.0272, 0)</f>
        <v>56.615499999999997</v>
      </c>
      <c r="C753" s="4">
        <f>56.225 * CHOOSE(CONTROL!$C$10, $C$13, 100%, $E$13) + CHOOSE(CONTROL!$C$29, 0.0272, 0)</f>
        <v>56.252200000000002</v>
      </c>
      <c r="D753" s="4">
        <f>68.8237 * CHOOSE(CONTROL!$C$10, $C$13, 100%, $E$13) + CHOOSE(CONTROL!$C$29, 0.0021, 0)</f>
        <v>68.825800000000001</v>
      </c>
      <c r="E753" s="4">
        <f>365.330070038267 * CHOOSE(CONTROL!$C$10, $C$13, 100%, $E$13) + CHOOSE(CONTROL!$C$29, 0.0021, 0)</f>
        <v>365.33217003826701</v>
      </c>
    </row>
    <row r="754" spans="1:5" ht="15">
      <c r="A754" s="13">
        <v>64100</v>
      </c>
      <c r="B754" s="4">
        <f>56.7649 * CHOOSE(CONTROL!$C$10, $C$13, 100%, $E$13) + CHOOSE(CONTROL!$C$29, 0.0272, 0)</f>
        <v>56.792099999999998</v>
      </c>
      <c r="C754" s="4">
        <f>56.4016 * CHOOSE(CONTROL!$C$10, $C$13, 100%, $E$13) + CHOOSE(CONTROL!$C$29, 0.0272, 0)</f>
        <v>56.428800000000003</v>
      </c>
      <c r="D754" s="4">
        <f>69.4418 * CHOOSE(CONTROL!$C$10, $C$13, 100%, $E$13) + CHOOSE(CONTROL!$C$29, 0.0021, 0)</f>
        <v>69.443899999999999</v>
      </c>
      <c r="E754" s="4">
        <f>366.486024153892 * CHOOSE(CONTROL!$C$10, $C$13, 100%, $E$13) + CHOOSE(CONTROL!$C$29, 0.0021, 0)</f>
        <v>366.48812415389199</v>
      </c>
    </row>
    <row r="755" spans="1:5" ht="15">
      <c r="A755" s="13">
        <v>64131</v>
      </c>
      <c r="B755" s="4">
        <f>56.7471 * CHOOSE(CONTROL!$C$10, $C$13, 100%, $E$13) + CHOOSE(CONTROL!$C$29, 0.0272, 0)</f>
        <v>56.774300000000004</v>
      </c>
      <c r="C755" s="4">
        <f>56.3838 * CHOOSE(CONTROL!$C$10, $C$13, 100%, $E$13) + CHOOSE(CONTROL!$C$29, 0.0272, 0)</f>
        <v>56.411000000000001</v>
      </c>
      <c r="D755" s="4">
        <f>70.557 * CHOOSE(CONTROL!$C$10, $C$13, 100%, $E$13) + CHOOSE(CONTROL!$C$29, 0.0021, 0)</f>
        <v>70.559100000000001</v>
      </c>
      <c r="E755" s="4">
        <f>366.369457352317 * CHOOSE(CONTROL!$C$10, $C$13, 100%, $E$13) + CHOOSE(CONTROL!$C$29, 0.0021, 0)</f>
        <v>366.37155735231698</v>
      </c>
    </row>
    <row r="756" spans="1:5" ht="15">
      <c r="A756" s="13">
        <v>64162</v>
      </c>
      <c r="B756" s="4">
        <f>58.0872 * CHOOSE(CONTROL!$C$10, $C$13, 100%, $E$13) + CHOOSE(CONTROL!$C$29, 0.0272, 0)</f>
        <v>58.114400000000003</v>
      </c>
      <c r="C756" s="4">
        <f>57.7239 * CHOOSE(CONTROL!$C$10, $C$13, 100%, $E$13) + CHOOSE(CONTROL!$C$29, 0.0272, 0)</f>
        <v>57.751100000000001</v>
      </c>
      <c r="D756" s="4">
        <f>69.8205 * CHOOSE(CONTROL!$C$10, $C$13, 100%, $E$13) + CHOOSE(CONTROL!$C$29, 0.0021, 0)</f>
        <v>69.822599999999994</v>
      </c>
      <c r="E756" s="4">
        <f>375.141109170885 * CHOOSE(CONTROL!$C$10, $C$13, 100%, $E$13) + CHOOSE(CONTROL!$C$29, 0.0021, 0)</f>
        <v>375.14320917088497</v>
      </c>
    </row>
    <row r="757" spans="1:5" ht="15">
      <c r="A757" s="13">
        <v>64192</v>
      </c>
      <c r="B757" s="4">
        <f>55.8032 * CHOOSE(CONTROL!$C$10, $C$13, 100%, $E$13) + CHOOSE(CONTROL!$C$29, 0.0272, 0)</f>
        <v>55.830399999999997</v>
      </c>
      <c r="C757" s="4">
        <f>55.4399 * CHOOSE(CONTROL!$C$10, $C$13, 100%, $E$13) + CHOOSE(CONTROL!$C$29, 0.0272, 0)</f>
        <v>55.467100000000002</v>
      </c>
      <c r="D757" s="4">
        <f>69.4725 * CHOOSE(CONTROL!$C$10, $C$13, 100%, $E$13) + CHOOSE(CONTROL!$C$29, 0.0021, 0)</f>
        <v>69.474599999999995</v>
      </c>
      <c r="E757" s="4">
        <f>360.191416868806 * CHOOSE(CONTROL!$C$10, $C$13, 100%, $E$13) + CHOOSE(CONTROL!$C$29, 0.0021, 0)</f>
        <v>360.193516868806</v>
      </c>
    </row>
    <row r="758" spans="1:5" ht="15">
      <c r="A758" s="13">
        <v>64223</v>
      </c>
      <c r="B758" s="4">
        <f>53.9748 * CHOOSE(CONTROL!$C$10, $C$13, 100%, $E$13) + CHOOSE(CONTROL!$C$29, 0.0272, 0)</f>
        <v>54.002000000000002</v>
      </c>
      <c r="C758" s="4">
        <f>53.6115 * CHOOSE(CONTROL!$C$10, $C$13, 100%, $E$13) + CHOOSE(CONTROL!$C$29, 0.0272, 0)</f>
        <v>53.6387</v>
      </c>
      <c r="D758" s="4">
        <f>68.5408 * CHOOSE(CONTROL!$C$10, $C$13, 100%, $E$13) + CHOOSE(CONTROL!$C$29, 0.0021, 0)</f>
        <v>68.542900000000003</v>
      </c>
      <c r="E758" s="4">
        <f>348.223891907038 * CHOOSE(CONTROL!$C$10, $C$13, 100%, $E$13) + CHOOSE(CONTROL!$C$29, 0.0021, 0)</f>
        <v>348.22599190703801</v>
      </c>
    </row>
    <row r="759" spans="1:5" ht="15">
      <c r="A759" s="13">
        <v>64253</v>
      </c>
      <c r="B759" s="4">
        <f>52.7972 * CHOOSE(CONTROL!$C$10, $C$13, 100%, $E$13) + CHOOSE(CONTROL!$C$29, 0.0272, 0)</f>
        <v>52.824399999999997</v>
      </c>
      <c r="C759" s="4">
        <f>52.4339 * CHOOSE(CONTROL!$C$10, $C$13, 100%, $E$13) + CHOOSE(CONTROL!$C$29, 0.0272, 0)</f>
        <v>52.461100000000002</v>
      </c>
      <c r="D759" s="4">
        <f>68.2205 * CHOOSE(CONTROL!$C$10, $C$13, 100%, $E$13) + CHOOSE(CONTROL!$C$29, 0.0021, 0)</f>
        <v>68.2226</v>
      </c>
      <c r="E759" s="4">
        <f>340.515912152847 * CHOOSE(CONTROL!$C$10, $C$13, 100%, $E$13) + CHOOSE(CONTROL!$C$29, 0.0021, 0)</f>
        <v>340.51801215284701</v>
      </c>
    </row>
    <row r="760" spans="1:5" ht="15">
      <c r="A760" s="13">
        <v>64284</v>
      </c>
      <c r="B760" s="4">
        <f>51.9824 * CHOOSE(CONTROL!$C$10, $C$13, 100%, $E$13) + CHOOSE(CONTROL!$C$29, 0.0272, 0)</f>
        <v>52.009599999999999</v>
      </c>
      <c r="C760" s="4">
        <f>51.6192 * CHOOSE(CONTROL!$C$10, $C$13, 100%, $E$13) + CHOOSE(CONTROL!$C$29, 0.0272, 0)</f>
        <v>51.6464</v>
      </c>
      <c r="D760" s="4">
        <f>65.8622 * CHOOSE(CONTROL!$C$10, $C$13, 100%, $E$13) + CHOOSE(CONTROL!$C$29, 0.0021, 0)</f>
        <v>65.8643</v>
      </c>
      <c r="E760" s="4">
        <f>335.18298098076 * CHOOSE(CONTROL!$C$10, $C$13, 100%, $E$13) + CHOOSE(CONTROL!$C$29, 0.0021, 0)</f>
        <v>335.18508098076001</v>
      </c>
    </row>
    <row r="761" spans="1:5" ht="15">
      <c r="A761" s="13">
        <v>64315</v>
      </c>
      <c r="B761" s="4">
        <f>49.847 * CHOOSE(CONTROL!$C$10, $C$13, 100%, $E$13) + CHOOSE(CONTROL!$C$29, 0.0272, 0)</f>
        <v>49.874200000000002</v>
      </c>
      <c r="C761" s="4">
        <f>49.4837 * CHOOSE(CONTROL!$C$10, $C$13, 100%, $E$13) + CHOOSE(CONTROL!$C$29, 0.0272, 0)</f>
        <v>49.510899999999999</v>
      </c>
      <c r="D761" s="4">
        <f>63.147 * CHOOSE(CONTROL!$C$10, $C$13, 100%, $E$13) + CHOOSE(CONTROL!$C$29, 0.0021, 0)</f>
        <v>63.149099999999997</v>
      </c>
      <c r="E761" s="4">
        <f>321.221247836995 * CHOOSE(CONTROL!$C$10, $C$13, 100%, $E$13) + CHOOSE(CONTROL!$C$29, 0.0021, 0)</f>
        <v>321.223347836995</v>
      </c>
    </row>
    <row r="762" spans="1:5" ht="15">
      <c r="A762" s="13">
        <v>64344</v>
      </c>
      <c r="B762" s="4">
        <f>51.0122 * CHOOSE(CONTROL!$C$10, $C$13, 100%, $E$13) + CHOOSE(CONTROL!$C$29, 0.0272, 0)</f>
        <v>51.039400000000001</v>
      </c>
      <c r="C762" s="4">
        <f>50.6489 * CHOOSE(CONTROL!$C$10, $C$13, 100%, $E$13) + CHOOSE(CONTROL!$C$29, 0.0272, 0)</f>
        <v>50.676099999999998</v>
      </c>
      <c r="D762" s="4">
        <f>65.3104 * CHOOSE(CONTROL!$C$10, $C$13, 100%, $E$13) + CHOOSE(CONTROL!$C$29, 0.0021, 0)</f>
        <v>65.3125</v>
      </c>
      <c r="E762" s="4">
        <f>328.848306164493 * CHOOSE(CONTROL!$C$10, $C$13, 100%, $E$13) + CHOOSE(CONTROL!$C$29, 0.0021, 0)</f>
        <v>328.85040616449299</v>
      </c>
    </row>
    <row r="763" spans="1:5" ht="15">
      <c r="A763" s="13">
        <v>64375</v>
      </c>
      <c r="B763" s="4">
        <f>54.0721 * CHOOSE(CONTROL!$C$10, $C$13, 100%, $E$13) + CHOOSE(CONTROL!$C$29, 0.0272, 0)</f>
        <v>54.099299999999999</v>
      </c>
      <c r="C763" s="4">
        <f>53.7088 * CHOOSE(CONTROL!$C$10, $C$13, 100%, $E$13) + CHOOSE(CONTROL!$C$29, 0.0272, 0)</f>
        <v>53.735999999999997</v>
      </c>
      <c r="D763" s="4">
        <f>68.6969 * CHOOSE(CONTROL!$C$10, $C$13, 100%, $E$13) + CHOOSE(CONTROL!$C$29, 0.0021, 0)</f>
        <v>68.698999999999998</v>
      </c>
      <c r="E763" s="4">
        <f>348.877366658999 * CHOOSE(CONTROL!$C$10, $C$13, 100%, $E$13) + CHOOSE(CONTROL!$C$29, 0.0021, 0)</f>
        <v>348.87946665899898</v>
      </c>
    </row>
    <row r="764" spans="1:5" ht="15">
      <c r="A764" s="13">
        <v>64405</v>
      </c>
      <c r="B764" s="4">
        <f>56.2461 * CHOOSE(CONTROL!$C$10, $C$13, 100%, $E$13) + CHOOSE(CONTROL!$C$29, 0.0272, 0)</f>
        <v>56.273299999999999</v>
      </c>
      <c r="C764" s="4">
        <f>55.8829 * CHOOSE(CONTROL!$C$10, $C$13, 100%, $E$13) + CHOOSE(CONTROL!$C$29, 0.0272, 0)</f>
        <v>55.9101</v>
      </c>
      <c r="D764" s="4">
        <f>70.6477 * CHOOSE(CONTROL!$C$10, $C$13, 100%, $E$13) + CHOOSE(CONTROL!$C$29, 0.0021, 0)</f>
        <v>70.649799999999999</v>
      </c>
      <c r="E764" s="4">
        <f>363.108281062673 * CHOOSE(CONTROL!$C$10, $C$13, 100%, $E$13) + CHOOSE(CONTROL!$C$29, 0.0021, 0)</f>
        <v>363.11038106267296</v>
      </c>
    </row>
    <row r="765" spans="1:5" ht="15">
      <c r="A765" s="13">
        <v>64436</v>
      </c>
      <c r="B765" s="4">
        <f>57.5745 * CHOOSE(CONTROL!$C$10, $C$13, 100%, $E$13) + CHOOSE(CONTROL!$C$29, 0.0272, 0)</f>
        <v>57.601700000000001</v>
      </c>
      <c r="C765" s="4">
        <f>57.2112 * CHOOSE(CONTROL!$C$10, $C$13, 100%, $E$13) + CHOOSE(CONTROL!$C$29, 0.0272, 0)</f>
        <v>57.238399999999999</v>
      </c>
      <c r="D765" s="4">
        <f>69.8768 * CHOOSE(CONTROL!$C$10, $C$13, 100%, $E$13) + CHOOSE(CONTROL!$C$29, 0.0021, 0)</f>
        <v>69.878900000000002</v>
      </c>
      <c r="E765" s="4">
        <f>371.8030286959 * CHOOSE(CONTROL!$C$10, $C$13, 100%, $E$13) + CHOOSE(CONTROL!$C$29, 0.0021, 0)</f>
        <v>371.80512869590001</v>
      </c>
    </row>
    <row r="766" spans="1:5" ht="15">
      <c r="A766" s="13">
        <v>64466</v>
      </c>
      <c r="B766" s="4">
        <f>57.7542 * CHOOSE(CONTROL!$C$10, $C$13, 100%, $E$13) + CHOOSE(CONTROL!$C$29, 0.0272, 0)</f>
        <v>57.781399999999998</v>
      </c>
      <c r="C766" s="4">
        <f>57.3909 * CHOOSE(CONTROL!$C$10, $C$13, 100%, $E$13) + CHOOSE(CONTROL!$C$29, 0.0272, 0)</f>
        <v>57.418100000000003</v>
      </c>
      <c r="D766" s="4">
        <f>70.5046 * CHOOSE(CONTROL!$C$10, $C$13, 100%, $E$13) + CHOOSE(CONTROL!$C$29, 0.0021, 0)</f>
        <v>70.506699999999995</v>
      </c>
      <c r="E766" s="4">
        <f>372.97946413462 * CHOOSE(CONTROL!$C$10, $C$13, 100%, $E$13) + CHOOSE(CONTROL!$C$29, 0.0021, 0)</f>
        <v>372.98156413461999</v>
      </c>
    </row>
    <row r="767" spans="1:5" ht="15">
      <c r="A767" s="13">
        <v>64497</v>
      </c>
      <c r="B767" s="4">
        <f>57.7361 * CHOOSE(CONTROL!$C$10, $C$13, 100%, $E$13) + CHOOSE(CONTROL!$C$29, 0.0272, 0)</f>
        <v>57.763300000000001</v>
      </c>
      <c r="C767" s="4">
        <f>57.3728 * CHOOSE(CONTROL!$C$10, $C$13, 100%, $E$13) + CHOOSE(CONTROL!$C$29, 0.0272, 0)</f>
        <v>57.4</v>
      </c>
      <c r="D767" s="4">
        <f>71.6374 * CHOOSE(CONTROL!$C$10, $C$13, 100%, $E$13) + CHOOSE(CONTROL!$C$29, 0.0021, 0)</f>
        <v>71.639499999999998</v>
      </c>
      <c r="E767" s="4">
        <f>372.860831989539 * CHOOSE(CONTROL!$C$10, $C$13, 100%, $E$13) + CHOOSE(CONTROL!$C$29, 0.0021, 0)</f>
        <v>372.86293198953899</v>
      </c>
    </row>
    <row r="768" spans="1:5" ht="15">
      <c r="A768" s="13">
        <v>64528</v>
      </c>
      <c r="B768" s="4">
        <f>59.0999 * CHOOSE(CONTROL!$C$10, $C$13, 100%, $E$13) + CHOOSE(CONTROL!$C$29, 0.0272, 0)</f>
        <v>59.127099999999999</v>
      </c>
      <c r="C768" s="4">
        <f>58.7366 * CHOOSE(CONTROL!$C$10, $C$13, 100%, $E$13) + CHOOSE(CONTROL!$C$29, 0.0272, 0)</f>
        <v>58.763800000000003</v>
      </c>
      <c r="D768" s="4">
        <f>70.8893 * CHOOSE(CONTROL!$C$10, $C$13, 100%, $E$13) + CHOOSE(CONTROL!$C$29, 0.0021, 0)</f>
        <v>70.891400000000004</v>
      </c>
      <c r="E768" s="4">
        <f>381.787900906883 * CHOOSE(CONTROL!$C$10, $C$13, 100%, $E$13) + CHOOSE(CONTROL!$C$29, 0.0021, 0)</f>
        <v>381.79000090688299</v>
      </c>
    </row>
    <row r="769" spans="1:5" ht="15">
      <c r="A769" s="13">
        <v>64558</v>
      </c>
      <c r="B769" s="4">
        <f>56.7755 * CHOOSE(CONTROL!$C$10, $C$13, 100%, $E$13) + CHOOSE(CONTROL!$C$29, 0.0272, 0)</f>
        <v>56.802700000000002</v>
      </c>
      <c r="C769" s="4">
        <f>56.4122 * CHOOSE(CONTROL!$C$10, $C$13, 100%, $E$13) + CHOOSE(CONTROL!$C$29, 0.0272, 0)</f>
        <v>56.439399999999999</v>
      </c>
      <c r="D769" s="4">
        <f>70.5359 * CHOOSE(CONTROL!$C$10, $C$13, 100%, $E$13) + CHOOSE(CONTROL!$C$29, 0.0021, 0)</f>
        <v>70.537999999999997</v>
      </c>
      <c r="E769" s="4">
        <f>366.573328300247 * CHOOSE(CONTROL!$C$10, $C$13, 100%, $E$13) + CHOOSE(CONTROL!$C$29, 0.0021, 0)</f>
        <v>366.57542830024698</v>
      </c>
    </row>
    <row r="770" spans="1:5" ht="15">
      <c r="A770" s="13">
        <v>64589</v>
      </c>
      <c r="B770" s="4">
        <f>54.9148 * CHOOSE(CONTROL!$C$10, $C$13, 100%, $E$13) + CHOOSE(CONTROL!$C$29, 0.0272, 0)</f>
        <v>54.942</v>
      </c>
      <c r="C770" s="4">
        <f>54.5515 * CHOOSE(CONTROL!$C$10, $C$13, 100%, $E$13) + CHOOSE(CONTROL!$C$29, 0.0272, 0)</f>
        <v>54.578699999999998</v>
      </c>
      <c r="D770" s="4">
        <f>69.5895 * CHOOSE(CONTROL!$C$10, $C$13, 100%, $E$13) + CHOOSE(CONTROL!$C$29, 0.0021, 0)</f>
        <v>69.5916</v>
      </c>
      <c r="E770" s="4">
        <f>354.393761405265 * CHOOSE(CONTROL!$C$10, $C$13, 100%, $E$13) + CHOOSE(CONTROL!$C$29, 0.0021, 0)</f>
        <v>354.39586140526501</v>
      </c>
    </row>
    <row r="771" spans="1:5" ht="15">
      <c r="A771" s="13">
        <v>64619</v>
      </c>
      <c r="B771" s="4">
        <f>53.7164 * CHOOSE(CONTROL!$C$10, $C$13, 100%, $E$13) + CHOOSE(CONTROL!$C$29, 0.0272, 0)</f>
        <v>53.743600000000001</v>
      </c>
      <c r="C771" s="4">
        <f>53.3531 * CHOOSE(CONTROL!$C$10, $C$13, 100%, $E$13) + CHOOSE(CONTROL!$C$29, 0.0272, 0)</f>
        <v>53.380299999999998</v>
      </c>
      <c r="D771" s="4">
        <f>69.2641 * CHOOSE(CONTROL!$C$10, $C$13, 100%, $E$13) + CHOOSE(CONTROL!$C$29, 0.0021, 0)</f>
        <v>69.266199999999998</v>
      </c>
      <c r="E771" s="4">
        <f>346.549210811785 * CHOOSE(CONTROL!$C$10, $C$13, 100%, $E$13) + CHOOSE(CONTROL!$C$29, 0.0021, 0)</f>
        <v>346.55131081178496</v>
      </c>
    </row>
    <row r="772" spans="1:5" ht="15">
      <c r="A772" s="13">
        <v>64650</v>
      </c>
      <c r="B772" s="4">
        <f>52.8872 * CHOOSE(CONTROL!$C$10, $C$13, 100%, $E$13) + CHOOSE(CONTROL!$C$29, 0.0272, 0)</f>
        <v>52.914400000000001</v>
      </c>
      <c r="C772" s="4">
        <f>52.5239 * CHOOSE(CONTROL!$C$10, $C$13, 100%, $E$13) + CHOOSE(CONTROL!$C$29, 0.0272, 0)</f>
        <v>52.551099999999998</v>
      </c>
      <c r="D772" s="4">
        <f>66.8687 * CHOOSE(CONTROL!$C$10, $C$13, 100%, $E$13) + CHOOSE(CONTROL!$C$29, 0.0021, 0)</f>
        <v>66.870800000000003</v>
      </c>
      <c r="E772" s="4">
        <f>341.12179017433 * CHOOSE(CONTROL!$C$10, $C$13, 100%, $E$13) + CHOOSE(CONTROL!$C$29, 0.0021, 0)</f>
        <v>341.12389017432997</v>
      </c>
    </row>
    <row r="773" spans="1:5" ht="15">
      <c r="A773" s="13">
        <v>64681</v>
      </c>
      <c r="B773" s="4">
        <f>50.714 * CHOOSE(CONTROL!$C$10, $C$13, 100%, $E$13) + CHOOSE(CONTROL!$C$29, 0.0272, 0)</f>
        <v>50.741199999999999</v>
      </c>
      <c r="C773" s="4">
        <f>50.3507 * CHOOSE(CONTROL!$C$10, $C$13, 100%, $E$13) + CHOOSE(CONTROL!$C$29, 0.0272, 0)</f>
        <v>50.377900000000004</v>
      </c>
      <c r="D773" s="4">
        <f>64.1109 * CHOOSE(CONTROL!$C$10, $C$13, 100%, $E$13) + CHOOSE(CONTROL!$C$29, 0.0021, 0)</f>
        <v>64.113</v>
      </c>
      <c r="E773" s="4">
        <f>326.912681495835 * CHOOSE(CONTROL!$C$10, $C$13, 100%, $E$13) + CHOOSE(CONTROL!$C$29, 0.0021, 0)</f>
        <v>326.91478149583497</v>
      </c>
    </row>
    <row r="774" spans="1:5" ht="15">
      <c r="A774" s="13">
        <v>64709</v>
      </c>
      <c r="B774" s="4">
        <f>51.8998 * CHOOSE(CONTROL!$C$10, $C$13, 100%, $E$13) + CHOOSE(CONTROL!$C$29, 0.0272, 0)</f>
        <v>51.927</v>
      </c>
      <c r="C774" s="4">
        <f>51.5365 * CHOOSE(CONTROL!$C$10, $C$13, 100%, $E$13) + CHOOSE(CONTROL!$C$29, 0.0272, 0)</f>
        <v>51.563699999999997</v>
      </c>
      <c r="D774" s="4">
        <f>66.3082 * CHOOSE(CONTROL!$C$10, $C$13, 100%, $E$13) + CHOOSE(CONTROL!$C$29, 0.0021, 0)</f>
        <v>66.310299999999998</v>
      </c>
      <c r="E774" s="4">
        <f>334.674876887819 * CHOOSE(CONTROL!$C$10, $C$13, 100%, $E$13) + CHOOSE(CONTROL!$C$29, 0.0021, 0)</f>
        <v>334.67697688781897</v>
      </c>
    </row>
    <row r="775" spans="1:5" ht="15">
      <c r="A775" s="13">
        <v>64740</v>
      </c>
      <c r="B775" s="4">
        <f>55.0138 * CHOOSE(CONTROL!$C$10, $C$13, 100%, $E$13) + CHOOSE(CONTROL!$C$29, 0.0272, 0)</f>
        <v>55.041000000000004</v>
      </c>
      <c r="C775" s="4">
        <f>54.6505 * CHOOSE(CONTROL!$C$10, $C$13, 100%, $E$13) + CHOOSE(CONTROL!$C$29, 0.0272, 0)</f>
        <v>54.677700000000002</v>
      </c>
      <c r="D775" s="4">
        <f>69.7481 * CHOOSE(CONTROL!$C$10, $C$13, 100%, $E$13) + CHOOSE(CONTROL!$C$29, 0.0021, 0)</f>
        <v>69.750199999999992</v>
      </c>
      <c r="E775" s="4">
        <f>355.058814495284 * CHOOSE(CONTROL!$C$10, $C$13, 100%, $E$13) + CHOOSE(CONTROL!$C$29, 0.0021, 0)</f>
        <v>355.06091449528401</v>
      </c>
    </row>
    <row r="776" spans="1:5" ht="15">
      <c r="A776" s="13">
        <v>64770</v>
      </c>
      <c r="B776" s="4">
        <f>57.2262 * CHOOSE(CONTROL!$C$10, $C$13, 100%, $E$13) + CHOOSE(CONTROL!$C$29, 0.0272, 0)</f>
        <v>57.253399999999999</v>
      </c>
      <c r="C776" s="4">
        <f>56.863 * CHOOSE(CONTROL!$C$10, $C$13, 100%, $E$13) + CHOOSE(CONTROL!$C$29, 0.0272, 0)</f>
        <v>56.8902</v>
      </c>
      <c r="D776" s="4">
        <f>71.7295 * CHOOSE(CONTROL!$C$10, $C$13, 100%, $E$13) + CHOOSE(CONTROL!$C$29, 0.0021, 0)</f>
        <v>71.7316</v>
      </c>
      <c r="E776" s="4">
        <f>369.541873817073 * CHOOSE(CONTROL!$C$10, $C$13, 100%, $E$13) + CHOOSE(CONTROL!$C$29, 0.0021, 0)</f>
        <v>369.54397381707298</v>
      </c>
    </row>
    <row r="777" spans="1:5" ht="15">
      <c r="A777" s="13">
        <v>64801</v>
      </c>
      <c r="B777" s="4">
        <f>58.578 * CHOOSE(CONTROL!$C$10, $C$13, 100%, $E$13) + CHOOSE(CONTROL!$C$29, 0.0272, 0)</f>
        <v>58.605200000000004</v>
      </c>
      <c r="C777" s="4">
        <f>58.2147 * CHOOSE(CONTROL!$C$10, $C$13, 100%, $E$13) + CHOOSE(CONTROL!$C$29, 0.0272, 0)</f>
        <v>58.241900000000001</v>
      </c>
      <c r="D777" s="4">
        <f>70.9465 * CHOOSE(CONTROL!$C$10, $C$13, 100%, $E$13) + CHOOSE(CONTROL!$C$29, 0.0021, 0)</f>
        <v>70.948599999999999</v>
      </c>
      <c r="E777" s="4">
        <f>378.3906759522 * CHOOSE(CONTROL!$C$10, $C$13, 100%, $E$13) + CHOOSE(CONTROL!$C$29, 0.0021, 0)</f>
        <v>378.3927759522</v>
      </c>
    </row>
    <row r="778" spans="1:5" ht="15">
      <c r="A778" s="13">
        <v>64831</v>
      </c>
      <c r="B778" s="4">
        <f>58.7609 * CHOOSE(CONTROL!$C$10, $C$13, 100%, $E$13) + CHOOSE(CONTROL!$C$29, 0.0272, 0)</f>
        <v>58.7881</v>
      </c>
      <c r="C778" s="4">
        <f>58.3976 * CHOOSE(CONTROL!$C$10, $C$13, 100%, $E$13) + CHOOSE(CONTROL!$C$29, 0.0272, 0)</f>
        <v>58.424799999999998</v>
      </c>
      <c r="D778" s="4">
        <f>71.5842 * CHOOSE(CONTROL!$C$10, $C$13, 100%, $E$13) + CHOOSE(CONTROL!$C$29, 0.0021, 0)</f>
        <v>71.586299999999994</v>
      </c>
      <c r="E778" s="4">
        <f>379.587955604365 * CHOOSE(CONTROL!$C$10, $C$13, 100%, $E$13) + CHOOSE(CONTROL!$C$29, 0.0021, 0)</f>
        <v>379.59005560436498</v>
      </c>
    </row>
    <row r="779" spans="1:5" ht="15">
      <c r="A779" s="13">
        <v>64862</v>
      </c>
      <c r="B779" s="4">
        <f>58.7425 * CHOOSE(CONTROL!$C$10, $C$13, 100%, $E$13) + CHOOSE(CONTROL!$C$29, 0.0272, 0)</f>
        <v>58.7697</v>
      </c>
      <c r="C779" s="4">
        <f>58.3792 * CHOOSE(CONTROL!$C$10, $C$13, 100%, $E$13) + CHOOSE(CONTROL!$C$29, 0.0272, 0)</f>
        <v>58.406399999999998</v>
      </c>
      <c r="D779" s="4">
        <f>72.7348 * CHOOSE(CONTROL!$C$10, $C$13, 100%, $E$13) + CHOOSE(CONTROL!$C$29, 0.0021, 0)</f>
        <v>72.736900000000006</v>
      </c>
      <c r="E779" s="4">
        <f>379.467221521794 * CHOOSE(CONTROL!$C$10, $C$13, 100%, $E$13) + CHOOSE(CONTROL!$C$29, 0.0021, 0)</f>
        <v>379.46932152179397</v>
      </c>
    </row>
    <row r="780" spans="1:5" ht="15">
      <c r="A780" s="13">
        <v>64893</v>
      </c>
      <c r="B780" s="4">
        <f>60.1304 * CHOOSE(CONTROL!$C$10, $C$13, 100%, $E$13) + CHOOSE(CONTROL!$C$29, 0.0272, 0)</f>
        <v>60.157600000000002</v>
      </c>
      <c r="C780" s="4">
        <f>59.7671 * CHOOSE(CONTROL!$C$10, $C$13, 100%, $E$13) + CHOOSE(CONTROL!$C$29, 0.0272, 0)</f>
        <v>59.7943</v>
      </c>
      <c r="D780" s="4">
        <f>71.9749 * CHOOSE(CONTROL!$C$10, $C$13, 100%, $E$13) + CHOOSE(CONTROL!$C$29, 0.0021, 0)</f>
        <v>71.977000000000004</v>
      </c>
      <c r="E780" s="4">
        <f>388.552461235289 * CHOOSE(CONTROL!$C$10, $C$13, 100%, $E$13) + CHOOSE(CONTROL!$C$29, 0.0021, 0)</f>
        <v>388.55456123528899</v>
      </c>
    </row>
    <row r="781" spans="1:5" ht="15">
      <c r="A781" s="13">
        <v>64923</v>
      </c>
      <c r="B781" s="4">
        <f>57.765 * CHOOSE(CONTROL!$C$10, $C$13, 100%, $E$13) + CHOOSE(CONTROL!$C$29, 0.0272, 0)</f>
        <v>57.792200000000001</v>
      </c>
      <c r="C781" s="4">
        <f>57.4017 * CHOOSE(CONTROL!$C$10, $C$13, 100%, $E$13) + CHOOSE(CONTROL!$C$29, 0.0272, 0)</f>
        <v>57.428899999999999</v>
      </c>
      <c r="D781" s="4">
        <f>71.6159 * CHOOSE(CONTROL!$C$10, $C$13, 100%, $E$13) + CHOOSE(CONTROL!$C$29, 0.0021, 0)</f>
        <v>71.617999999999995</v>
      </c>
      <c r="E781" s="4">
        <f>373.068315145512 * CHOOSE(CONTROL!$C$10, $C$13, 100%, $E$13) + CHOOSE(CONTROL!$C$29, 0.0021, 0)</f>
        <v>373.07041514551196</v>
      </c>
    </row>
    <row r="782" spans="1:5" ht="15">
      <c r="A782" s="13">
        <v>64954</v>
      </c>
      <c r="B782" s="4">
        <f>55.8714 * CHOOSE(CONTROL!$C$10, $C$13, 100%, $E$13) + CHOOSE(CONTROL!$C$29, 0.0272, 0)</f>
        <v>55.898600000000002</v>
      </c>
      <c r="C782" s="4">
        <f>55.5081 * CHOOSE(CONTROL!$C$10, $C$13, 100%, $E$13) + CHOOSE(CONTROL!$C$29, 0.0272, 0)</f>
        <v>55.535299999999999</v>
      </c>
      <c r="D782" s="4">
        <f>70.6546 * CHOOSE(CONTROL!$C$10, $C$13, 100%, $E$13) + CHOOSE(CONTROL!$C$29, 0.0021, 0)</f>
        <v>70.656700000000001</v>
      </c>
      <c r="E782" s="4">
        <f>360.672949334852 * CHOOSE(CONTROL!$C$10, $C$13, 100%, $E$13) + CHOOSE(CONTROL!$C$29, 0.0021, 0)</f>
        <v>360.67504933485196</v>
      </c>
    </row>
    <row r="783" spans="1:5" ht="15">
      <c r="A783" s="13">
        <v>64984</v>
      </c>
      <c r="B783" s="4">
        <f>54.6518 * CHOOSE(CONTROL!$C$10, $C$13, 100%, $E$13) + CHOOSE(CONTROL!$C$29, 0.0272, 0)</f>
        <v>54.679000000000002</v>
      </c>
      <c r="C783" s="4">
        <f>54.2885 * CHOOSE(CONTROL!$C$10, $C$13, 100%, $E$13) + CHOOSE(CONTROL!$C$29, 0.0272, 0)</f>
        <v>54.3157</v>
      </c>
      <c r="D783" s="4">
        <f>70.3242 * CHOOSE(CONTROL!$C$10, $C$13, 100%, $E$13) + CHOOSE(CONTROL!$C$29, 0.0021, 0)</f>
        <v>70.326300000000003</v>
      </c>
      <c r="E783" s="4">
        <f>352.689408124821 * CHOOSE(CONTROL!$C$10, $C$13, 100%, $E$13) + CHOOSE(CONTROL!$C$29, 0.0021, 0)</f>
        <v>352.69150812482098</v>
      </c>
    </row>
    <row r="784" spans="1:5" ht="15">
      <c r="A784" s="13">
        <v>65015</v>
      </c>
      <c r="B784" s="4">
        <f>53.808 * CHOOSE(CONTROL!$C$10, $C$13, 100%, $E$13) + CHOOSE(CONTROL!$C$29, 0.0272, 0)</f>
        <v>53.8352</v>
      </c>
      <c r="C784" s="4">
        <f>53.4447 * CHOOSE(CONTROL!$C$10, $C$13, 100%, $E$13) + CHOOSE(CONTROL!$C$29, 0.0272, 0)</f>
        <v>53.471899999999998</v>
      </c>
      <c r="D784" s="4">
        <f>67.8911 * CHOOSE(CONTROL!$C$10, $C$13, 100%, $E$13) + CHOOSE(CONTROL!$C$29, 0.0021, 0)</f>
        <v>67.893199999999993</v>
      </c>
      <c r="E784" s="4">
        <f>347.165823847181 * CHOOSE(CONTROL!$C$10, $C$13, 100%, $E$13) + CHOOSE(CONTROL!$C$29, 0.0021, 0)</f>
        <v>347.16792384718099</v>
      </c>
    </row>
    <row r="785" spans="1:5" ht="15">
      <c r="A785" s="13">
        <v>65046</v>
      </c>
      <c r="B785" s="4">
        <f>51.5964 * CHOOSE(CONTROL!$C$10, $C$13, 100%, $E$13) + CHOOSE(CONTROL!$C$29, 0.0272, 0)</f>
        <v>51.623600000000003</v>
      </c>
      <c r="C785" s="4">
        <f>51.2331 * CHOOSE(CONTROL!$C$10, $C$13, 100%, $E$13) + CHOOSE(CONTROL!$C$29, 0.0272, 0)</f>
        <v>51.260300000000001</v>
      </c>
      <c r="D785" s="4">
        <f>65.0899 * CHOOSE(CONTROL!$C$10, $C$13, 100%, $E$13) + CHOOSE(CONTROL!$C$29, 0.0021, 0)</f>
        <v>65.091999999999999</v>
      </c>
      <c r="E785" s="4">
        <f>332.704956606823 * CHOOSE(CONTROL!$C$10, $C$13, 100%, $E$13) + CHOOSE(CONTROL!$C$29, 0.0021, 0)</f>
        <v>332.70705660682296</v>
      </c>
    </row>
    <row r="786" spans="1:5" ht="15">
      <c r="A786" s="13">
        <v>65074</v>
      </c>
      <c r="B786" s="4">
        <f>52.8031 * CHOOSE(CONTROL!$C$10, $C$13, 100%, $E$13) + CHOOSE(CONTROL!$C$29, 0.0272, 0)</f>
        <v>52.830300000000001</v>
      </c>
      <c r="C786" s="4">
        <f>52.4398 * CHOOSE(CONTROL!$C$10, $C$13, 100%, $E$13) + CHOOSE(CONTROL!$C$29, 0.0272, 0)</f>
        <v>52.466999999999999</v>
      </c>
      <c r="D786" s="4">
        <f>67.3218 * CHOOSE(CONTROL!$C$10, $C$13, 100%, $E$13) + CHOOSE(CONTROL!$C$29, 0.0021, 0)</f>
        <v>67.323899999999995</v>
      </c>
      <c r="E786" s="4">
        <f>340.604683436774 * CHOOSE(CONTROL!$C$10, $C$13, 100%, $E$13) + CHOOSE(CONTROL!$C$29, 0.0021, 0)</f>
        <v>340.60678343677398</v>
      </c>
    </row>
    <row r="787" spans="1:5" ht="15">
      <c r="A787" s="13">
        <v>65105</v>
      </c>
      <c r="B787" s="4">
        <f>55.9721 * CHOOSE(CONTROL!$C$10, $C$13, 100%, $E$13) + CHOOSE(CONTROL!$C$29, 0.0272, 0)</f>
        <v>55.999299999999998</v>
      </c>
      <c r="C787" s="4">
        <f>55.6088 * CHOOSE(CONTROL!$C$10, $C$13, 100%, $E$13) + CHOOSE(CONTROL!$C$29, 0.0272, 0)</f>
        <v>55.636000000000003</v>
      </c>
      <c r="D787" s="4">
        <f>70.8157 * CHOOSE(CONTROL!$C$10, $C$13, 100%, $E$13) + CHOOSE(CONTROL!$C$29, 0.0021, 0)</f>
        <v>70.817800000000005</v>
      </c>
      <c r="E787" s="4">
        <f>361.349785909204 * CHOOSE(CONTROL!$C$10, $C$13, 100%, $E$13) + CHOOSE(CONTROL!$C$29, 0.0021, 0)</f>
        <v>361.35188590920399</v>
      </c>
    </row>
    <row r="788" spans="1:5" ht="15">
      <c r="A788" s="13">
        <v>65135</v>
      </c>
      <c r="B788" s="4">
        <f>58.2237 * CHOOSE(CONTROL!$C$10, $C$13, 100%, $E$13) + CHOOSE(CONTROL!$C$29, 0.0272, 0)</f>
        <v>58.250900000000001</v>
      </c>
      <c r="C788" s="4">
        <f>57.8604 * CHOOSE(CONTROL!$C$10, $C$13, 100%, $E$13) + CHOOSE(CONTROL!$C$29, 0.0272, 0)</f>
        <v>57.887599999999999</v>
      </c>
      <c r="D788" s="4">
        <f>72.8283 * CHOOSE(CONTROL!$C$10, $C$13, 100%, $E$13) + CHOOSE(CONTROL!$C$29, 0.0021, 0)</f>
        <v>72.830399999999997</v>
      </c>
      <c r="E788" s="4">
        <f>376.089457680706 * CHOOSE(CONTROL!$C$10, $C$13, 100%, $E$13) + CHOOSE(CONTROL!$C$29, 0.0021, 0)</f>
        <v>376.09155768070599</v>
      </c>
    </row>
    <row r="789" spans="1:5" ht="15">
      <c r="A789" s="13">
        <v>65166</v>
      </c>
      <c r="B789" s="4">
        <f>59.5993 * CHOOSE(CONTROL!$C$10, $C$13, 100%, $E$13) + CHOOSE(CONTROL!$C$29, 0.0272, 0)</f>
        <v>59.6265</v>
      </c>
      <c r="C789" s="4">
        <f>59.2361 * CHOOSE(CONTROL!$C$10, $C$13, 100%, $E$13) + CHOOSE(CONTROL!$C$29, 0.0272, 0)</f>
        <v>59.263300000000001</v>
      </c>
      <c r="D789" s="4">
        <f>72.033 * CHOOSE(CONTROL!$C$10, $C$13, 100%, $E$13) + CHOOSE(CONTROL!$C$29, 0.0021, 0)</f>
        <v>72.0351</v>
      </c>
      <c r="E789" s="4">
        <f>385.095043872464 * CHOOSE(CONTROL!$C$10, $C$13, 100%, $E$13) + CHOOSE(CONTROL!$C$29, 0.0021, 0)</f>
        <v>385.09714387246396</v>
      </c>
    </row>
    <row r="790" spans="1:5" ht="15">
      <c r="A790" s="13">
        <v>65196</v>
      </c>
      <c r="B790" s="4">
        <f>59.7855 * CHOOSE(CONTROL!$C$10, $C$13, 100%, $E$13) + CHOOSE(CONTROL!$C$29, 0.0272, 0)</f>
        <v>59.8127</v>
      </c>
      <c r="C790" s="4">
        <f>59.4222 * CHOOSE(CONTROL!$C$10, $C$13, 100%, $E$13) + CHOOSE(CONTROL!$C$29, 0.0272, 0)</f>
        <v>59.449399999999997</v>
      </c>
      <c r="D790" s="4">
        <f>72.6807 * CHOOSE(CONTROL!$C$10, $C$13, 100%, $E$13) + CHOOSE(CONTROL!$C$29, 0.0021, 0)</f>
        <v>72.6828</v>
      </c>
      <c r="E790" s="4">
        <f>386.313537058159 * CHOOSE(CONTROL!$C$10, $C$13, 100%, $E$13) + CHOOSE(CONTROL!$C$29, 0.0021, 0)</f>
        <v>386.31563705815898</v>
      </c>
    </row>
    <row r="791" spans="1:5" ht="15">
      <c r="A791" s="13">
        <v>65227</v>
      </c>
      <c r="B791" s="4">
        <f>59.7667 * CHOOSE(CONTROL!$C$10, $C$13, 100%, $E$13) + CHOOSE(CONTROL!$C$29, 0.0272, 0)</f>
        <v>59.793900000000001</v>
      </c>
      <c r="C791" s="4">
        <f>59.4034 * CHOOSE(CONTROL!$C$10, $C$13, 100%, $E$13) + CHOOSE(CONTROL!$C$29, 0.0272, 0)</f>
        <v>59.430599999999998</v>
      </c>
      <c r="D791" s="4">
        <f>73.8494 * CHOOSE(CONTROL!$C$10, $C$13, 100%, $E$13) + CHOOSE(CONTROL!$C$29, 0.0021, 0)</f>
        <v>73.851500000000001</v>
      </c>
      <c r="E791" s="4">
        <f>386.190663795736 * CHOOSE(CONTROL!$C$10, $C$13, 100%, $E$13) + CHOOSE(CONTROL!$C$29, 0.0021, 0)</f>
        <v>386.19276379573597</v>
      </c>
    </row>
    <row r="792" spans="1:5" ht="15">
      <c r="A792" s="13">
        <v>65258</v>
      </c>
      <c r="B792" s="4">
        <f>61.1791 * CHOOSE(CONTROL!$C$10, $C$13, 100%, $E$13) + CHOOSE(CONTROL!$C$29, 0.0272, 0)</f>
        <v>61.206299999999999</v>
      </c>
      <c r="C792" s="4">
        <f>60.8158 * CHOOSE(CONTROL!$C$10, $C$13, 100%, $E$13) + CHOOSE(CONTROL!$C$29, 0.0272, 0)</f>
        <v>60.843000000000004</v>
      </c>
      <c r="D792" s="4">
        <f>73.0776 * CHOOSE(CONTROL!$C$10, $C$13, 100%, $E$13) + CHOOSE(CONTROL!$C$29, 0.0021, 0)</f>
        <v>73.079700000000003</v>
      </c>
      <c r="E792" s="4">
        <f>395.436876793073 * CHOOSE(CONTROL!$C$10, $C$13, 100%, $E$13) + CHOOSE(CONTROL!$C$29, 0.0021, 0)</f>
        <v>395.43897679307298</v>
      </c>
    </row>
    <row r="793" spans="1:5" ht="15">
      <c r="A793" s="13">
        <v>65288</v>
      </c>
      <c r="B793" s="4">
        <f>58.7719 * CHOOSE(CONTROL!$C$10, $C$13, 100%, $E$13) + CHOOSE(CONTROL!$C$29, 0.0272, 0)</f>
        <v>58.799100000000003</v>
      </c>
      <c r="C793" s="4">
        <f>58.4086 * CHOOSE(CONTROL!$C$10, $C$13, 100%, $E$13) + CHOOSE(CONTROL!$C$29, 0.0272, 0)</f>
        <v>58.4358</v>
      </c>
      <c r="D793" s="4">
        <f>72.713 * CHOOSE(CONTROL!$C$10, $C$13, 100%, $E$13) + CHOOSE(CONTROL!$C$29, 0.0021, 0)</f>
        <v>72.715099999999993</v>
      </c>
      <c r="E793" s="4">
        <f>379.678380887313 * CHOOSE(CONTROL!$C$10, $C$13, 100%, $E$13) + CHOOSE(CONTROL!$C$29, 0.0021, 0)</f>
        <v>379.68048088731297</v>
      </c>
    </row>
    <row r="794" spans="1:5" ht="15">
      <c r="A794" s="13">
        <v>65319</v>
      </c>
      <c r="B794" s="4">
        <f>56.8449 * CHOOSE(CONTROL!$C$10, $C$13, 100%, $E$13) + CHOOSE(CONTROL!$C$29, 0.0272, 0)</f>
        <v>56.872100000000003</v>
      </c>
      <c r="C794" s="4">
        <f>56.4816 * CHOOSE(CONTROL!$C$10, $C$13, 100%, $E$13) + CHOOSE(CONTROL!$C$29, 0.0272, 0)</f>
        <v>56.508800000000001</v>
      </c>
      <c r="D794" s="4">
        <f>71.7366 * CHOOSE(CONTROL!$C$10, $C$13, 100%, $E$13) + CHOOSE(CONTROL!$C$29, 0.0021, 0)</f>
        <v>71.738699999999994</v>
      </c>
      <c r="E794" s="4">
        <f>367.063392611877 * CHOOSE(CONTROL!$C$10, $C$13, 100%, $E$13) + CHOOSE(CONTROL!$C$29, 0.0021, 0)</f>
        <v>367.065492611877</v>
      </c>
    </row>
    <row r="795" spans="1:5" ht="15">
      <c r="A795" s="13">
        <v>65349</v>
      </c>
      <c r="B795" s="4">
        <f>55.6037 * CHOOSE(CONTROL!$C$10, $C$13, 100%, $E$13) + CHOOSE(CONTROL!$C$29, 0.0272, 0)</f>
        <v>55.630900000000004</v>
      </c>
      <c r="C795" s="4">
        <f>55.2404 * CHOOSE(CONTROL!$C$10, $C$13, 100%, $E$13) + CHOOSE(CONTROL!$C$29, 0.0272, 0)</f>
        <v>55.267600000000002</v>
      </c>
      <c r="D795" s="4">
        <f>71.4009 * CHOOSE(CONTROL!$C$10, $C$13, 100%, $E$13) + CHOOSE(CONTROL!$C$29, 0.0021, 0)</f>
        <v>71.402999999999992</v>
      </c>
      <c r="E795" s="4">
        <f>358.938398134151 * CHOOSE(CONTROL!$C$10, $C$13, 100%, $E$13) + CHOOSE(CONTROL!$C$29, 0.0021, 0)</f>
        <v>358.94049813415097</v>
      </c>
    </row>
    <row r="796" spans="1:5" ht="15">
      <c r="A796" s="13">
        <v>65380</v>
      </c>
      <c r="B796" s="4">
        <f>54.745 * CHOOSE(CONTROL!$C$10, $C$13, 100%, $E$13) + CHOOSE(CONTROL!$C$29, 0.0272, 0)</f>
        <v>54.772199999999998</v>
      </c>
      <c r="C796" s="4">
        <f>54.3817 * CHOOSE(CONTROL!$C$10, $C$13, 100%, $E$13) + CHOOSE(CONTROL!$C$29, 0.0272, 0)</f>
        <v>54.408900000000003</v>
      </c>
      <c r="D796" s="4">
        <f>68.9296 * CHOOSE(CONTROL!$C$10, $C$13, 100%, $E$13) + CHOOSE(CONTROL!$C$29, 0.0021, 0)</f>
        <v>68.931699999999992</v>
      </c>
      <c r="E796" s="4">
        <f>353.316946378295 * CHOOSE(CONTROL!$C$10, $C$13, 100%, $E$13) + CHOOSE(CONTROL!$C$29, 0.0021, 0)</f>
        <v>353.31904637829496</v>
      </c>
    </row>
    <row r="797" spans="1:5" ht="15">
      <c r="A797" s="13">
        <v>65411</v>
      </c>
      <c r="B797" s="4">
        <f>52.4943 * CHOOSE(CONTROL!$C$10, $C$13, 100%, $E$13) + CHOOSE(CONTROL!$C$29, 0.0272, 0)</f>
        <v>52.521500000000003</v>
      </c>
      <c r="C797" s="4">
        <f>52.1311 * CHOOSE(CONTROL!$C$10, $C$13, 100%, $E$13) + CHOOSE(CONTROL!$C$29, 0.0272, 0)</f>
        <v>52.158300000000004</v>
      </c>
      <c r="D797" s="4">
        <f>66.0843 * CHOOSE(CONTROL!$C$10, $C$13, 100%, $E$13) + CHOOSE(CONTROL!$C$29, 0.0021, 0)</f>
        <v>66.086399999999998</v>
      </c>
      <c r="E797" s="4">
        <f>338.599859889983 * CHOOSE(CONTROL!$C$10, $C$13, 100%, $E$13) + CHOOSE(CONTROL!$C$29, 0.0021, 0)</f>
        <v>338.60195988998299</v>
      </c>
    </row>
    <row r="798" spans="1:5" ht="15">
      <c r="A798" s="13">
        <v>65439</v>
      </c>
      <c r="B798" s="4">
        <f>53.7224 * CHOOSE(CONTROL!$C$10, $C$13, 100%, $E$13) + CHOOSE(CONTROL!$C$29, 0.0272, 0)</f>
        <v>53.749600000000001</v>
      </c>
      <c r="C798" s="4">
        <f>53.3591 * CHOOSE(CONTROL!$C$10, $C$13, 100%, $E$13) + CHOOSE(CONTROL!$C$29, 0.0272, 0)</f>
        <v>53.386299999999999</v>
      </c>
      <c r="D798" s="4">
        <f>68.3513 * CHOOSE(CONTROL!$C$10, $C$13, 100%, $E$13) + CHOOSE(CONTROL!$C$29, 0.0021, 0)</f>
        <v>68.353399999999993</v>
      </c>
      <c r="E798" s="4">
        <f>346.639554955156 * CHOOSE(CONTROL!$C$10, $C$13, 100%, $E$13) + CHOOSE(CONTROL!$C$29, 0.0021, 0)</f>
        <v>346.64165495515596</v>
      </c>
    </row>
    <row r="799" spans="1:5" ht="15">
      <c r="A799" s="13">
        <v>65470</v>
      </c>
      <c r="B799" s="4">
        <f>56.9474 * CHOOSE(CONTROL!$C$10, $C$13, 100%, $E$13) + CHOOSE(CONTROL!$C$29, 0.0272, 0)</f>
        <v>56.974600000000002</v>
      </c>
      <c r="C799" s="4">
        <f>56.5841 * CHOOSE(CONTROL!$C$10, $C$13, 100%, $E$13) + CHOOSE(CONTROL!$C$29, 0.0272, 0)</f>
        <v>56.6113</v>
      </c>
      <c r="D799" s="4">
        <f>71.9002 * CHOOSE(CONTROL!$C$10, $C$13, 100%, $E$13) + CHOOSE(CONTROL!$C$29, 0.0021, 0)</f>
        <v>71.902299999999997</v>
      </c>
      <c r="E799" s="4">
        <f>367.752221451643 * CHOOSE(CONTROL!$C$10, $C$13, 100%, $E$13) + CHOOSE(CONTROL!$C$29, 0.0021, 0)</f>
        <v>367.75432145164297</v>
      </c>
    </row>
    <row r="800" spans="1:5" ht="15">
      <c r="A800" s="13">
        <v>65500</v>
      </c>
      <c r="B800" s="4">
        <f>59.2387 * CHOOSE(CONTROL!$C$10, $C$13, 100%, $E$13) + CHOOSE(CONTROL!$C$29, 0.0272, 0)</f>
        <v>59.265900000000002</v>
      </c>
      <c r="C800" s="4">
        <f>58.8754 * CHOOSE(CONTROL!$C$10, $C$13, 100%, $E$13) + CHOOSE(CONTROL!$C$29, 0.0272, 0)</f>
        <v>58.9026</v>
      </c>
      <c r="D800" s="4">
        <f>73.9444 * CHOOSE(CONTROL!$C$10, $C$13, 100%, $E$13) + CHOOSE(CONTROL!$C$29, 0.0021, 0)</f>
        <v>73.9465</v>
      </c>
      <c r="E800" s="4">
        <f>382.753052360672 * CHOOSE(CONTROL!$C$10, $C$13, 100%, $E$13) + CHOOSE(CONTROL!$C$29, 0.0021, 0)</f>
        <v>382.75515236067196</v>
      </c>
    </row>
    <row r="801" spans="1:5" ht="15">
      <c r="A801" s="13">
        <v>65531</v>
      </c>
      <c r="B801" s="4">
        <f>60.6387 * CHOOSE(CONTROL!$C$10, $C$13, 100%, $E$13) + CHOOSE(CONTROL!$C$29, 0.0272, 0)</f>
        <v>60.665900000000001</v>
      </c>
      <c r="C801" s="4">
        <f>60.2754 * CHOOSE(CONTROL!$C$10, $C$13, 100%, $E$13) + CHOOSE(CONTROL!$C$29, 0.0272, 0)</f>
        <v>60.302599999999998</v>
      </c>
      <c r="D801" s="4">
        <f>73.1366 * CHOOSE(CONTROL!$C$10, $C$13, 100%, $E$13) + CHOOSE(CONTROL!$C$29, 0.0021, 0)</f>
        <v>73.1387</v>
      </c>
      <c r="E801" s="4">
        <f>391.918200526349 * CHOOSE(CONTROL!$C$10, $C$13, 100%, $E$13) + CHOOSE(CONTROL!$C$29, 0.0021, 0)</f>
        <v>391.92030052634897</v>
      </c>
    </row>
    <row r="802" spans="1:5" ht="15">
      <c r="A802" s="13">
        <v>65561</v>
      </c>
      <c r="B802" s="4">
        <f>60.8281 * CHOOSE(CONTROL!$C$10, $C$13, 100%, $E$13) + CHOOSE(CONTROL!$C$29, 0.0272, 0)</f>
        <v>60.8553</v>
      </c>
      <c r="C802" s="4">
        <f>60.4648 * CHOOSE(CONTROL!$C$10, $C$13, 100%, $E$13) + CHOOSE(CONTROL!$C$29, 0.0272, 0)</f>
        <v>60.491999999999997</v>
      </c>
      <c r="D802" s="4">
        <f>73.7945 * CHOOSE(CONTROL!$C$10, $C$13, 100%, $E$13) + CHOOSE(CONTROL!$C$29, 0.0021, 0)</f>
        <v>73.796599999999998</v>
      </c>
      <c r="E802" s="4">
        <f>393.158283109311 * CHOOSE(CONTROL!$C$10, $C$13, 100%, $E$13) + CHOOSE(CONTROL!$C$29, 0.0021, 0)</f>
        <v>393.160383109311</v>
      </c>
    </row>
    <row r="803" spans="1:5" ht="15">
      <c r="A803" s="13">
        <v>65592</v>
      </c>
      <c r="B803" s="4">
        <f>60.809 * CHOOSE(CONTROL!$C$10, $C$13, 100%, $E$13) + CHOOSE(CONTROL!$C$29, 0.0272, 0)</f>
        <v>60.836199999999998</v>
      </c>
      <c r="C803" s="4">
        <f>60.4457 * CHOOSE(CONTROL!$C$10, $C$13, 100%, $E$13) + CHOOSE(CONTROL!$C$29, 0.0272, 0)</f>
        <v>60.472900000000003</v>
      </c>
      <c r="D803" s="4">
        <f>74.9816 * CHOOSE(CONTROL!$C$10, $C$13, 100%, $E$13) + CHOOSE(CONTROL!$C$29, 0.0021, 0)</f>
        <v>74.983699999999999</v>
      </c>
      <c r="E803" s="4">
        <f>393.033232764811 * CHOOSE(CONTROL!$C$10, $C$13, 100%, $E$13) + CHOOSE(CONTROL!$C$29, 0.0021, 0)</f>
        <v>393.03533276481096</v>
      </c>
    </row>
    <row r="804" spans="1:5" ht="15">
      <c r="A804" s="13">
        <v>65623</v>
      </c>
      <c r="B804" s="4">
        <f>62.2464 * CHOOSE(CONTROL!$C$10, $C$13, 100%, $E$13) + CHOOSE(CONTROL!$C$29, 0.0272, 0)</f>
        <v>62.273600000000002</v>
      </c>
      <c r="C804" s="4">
        <f>61.8831 * CHOOSE(CONTROL!$C$10, $C$13, 100%, $E$13) + CHOOSE(CONTROL!$C$29, 0.0272, 0)</f>
        <v>61.910299999999999</v>
      </c>
      <c r="D804" s="4">
        <f>74.1976 * CHOOSE(CONTROL!$C$10, $C$13, 100%, $E$13) + CHOOSE(CONTROL!$C$29, 0.0021, 0)</f>
        <v>74.199699999999993</v>
      </c>
      <c r="E804" s="4">
        <f>402.443271188467 * CHOOSE(CONTROL!$C$10, $C$13, 100%, $E$13) + CHOOSE(CONTROL!$C$29, 0.0021, 0)</f>
        <v>402.44537118846699</v>
      </c>
    </row>
    <row r="805" spans="1:5" ht="15">
      <c r="A805" s="13">
        <v>65653</v>
      </c>
      <c r="B805" s="4">
        <f>59.7966 * CHOOSE(CONTROL!$C$10, $C$13, 100%, $E$13) + CHOOSE(CONTROL!$C$29, 0.0272, 0)</f>
        <v>59.823799999999999</v>
      </c>
      <c r="C805" s="4">
        <f>59.4334 * CHOOSE(CONTROL!$C$10, $C$13, 100%, $E$13) + CHOOSE(CONTROL!$C$29, 0.0272, 0)</f>
        <v>59.460599999999999</v>
      </c>
      <c r="D805" s="4">
        <f>73.8272 * CHOOSE(CONTROL!$C$10, $C$13, 100%, $E$13) + CHOOSE(CONTROL!$C$29, 0.0021, 0)</f>
        <v>73.829300000000003</v>
      </c>
      <c r="E805" s="4">
        <f>386.405564506289 * CHOOSE(CONTROL!$C$10, $C$13, 100%, $E$13) + CHOOSE(CONTROL!$C$29, 0.0021, 0)</f>
        <v>386.407664506289</v>
      </c>
    </row>
    <row r="806" spans="1:5" ht="15">
      <c r="A806" s="13">
        <v>65684</v>
      </c>
      <c r="B806" s="4">
        <f>57.8356 * CHOOSE(CONTROL!$C$10, $C$13, 100%, $E$13) + CHOOSE(CONTROL!$C$29, 0.0272, 0)</f>
        <v>57.8628</v>
      </c>
      <c r="C806" s="4">
        <f>57.4723 * CHOOSE(CONTROL!$C$10, $C$13, 100%, $E$13) + CHOOSE(CONTROL!$C$29, 0.0272, 0)</f>
        <v>57.499499999999998</v>
      </c>
      <c r="D806" s="4">
        <f>72.8355 * CHOOSE(CONTROL!$C$10, $C$13, 100%, $E$13) + CHOOSE(CONTROL!$C$29, 0.0021, 0)</f>
        <v>72.837599999999995</v>
      </c>
      <c r="E806" s="4">
        <f>373.567062470912 * CHOOSE(CONTROL!$C$10, $C$13, 100%, $E$13) + CHOOSE(CONTROL!$C$29, 0.0021, 0)</f>
        <v>373.56916247091198</v>
      </c>
    </row>
    <row r="807" spans="1:5" ht="15">
      <c r="A807" s="13">
        <v>65714</v>
      </c>
      <c r="B807" s="4">
        <f>56.5725 * CHOOSE(CONTROL!$C$10, $C$13, 100%, $E$13) + CHOOSE(CONTROL!$C$29, 0.0272, 0)</f>
        <v>56.599699999999999</v>
      </c>
      <c r="C807" s="4">
        <f>56.2092 * CHOOSE(CONTROL!$C$10, $C$13, 100%, $E$13) + CHOOSE(CONTROL!$C$29, 0.0272, 0)</f>
        <v>56.236400000000003</v>
      </c>
      <c r="D807" s="4">
        <f>72.4945 * CHOOSE(CONTROL!$C$10, $C$13, 100%, $E$13) + CHOOSE(CONTROL!$C$29, 0.0021, 0)</f>
        <v>72.496600000000001</v>
      </c>
      <c r="E807" s="4">
        <f>365.298108440822 * CHOOSE(CONTROL!$C$10, $C$13, 100%, $E$13) + CHOOSE(CONTROL!$C$29, 0.0021, 0)</f>
        <v>365.30020844082196</v>
      </c>
    </row>
    <row r="808" spans="1:5" ht="15">
      <c r="A808" s="13">
        <v>65745</v>
      </c>
      <c r="B808" s="4">
        <f>55.6986 * CHOOSE(CONTROL!$C$10, $C$13, 100%, $E$13) + CHOOSE(CONTROL!$C$29, 0.0272, 0)</f>
        <v>55.7258</v>
      </c>
      <c r="C808" s="4">
        <f>55.3353 * CHOOSE(CONTROL!$C$10, $C$13, 100%, $E$13) + CHOOSE(CONTROL!$C$29, 0.0272, 0)</f>
        <v>55.362499999999997</v>
      </c>
      <c r="D808" s="4">
        <f>69.9844 * CHOOSE(CONTROL!$C$10, $C$13, 100%, $E$13) + CHOOSE(CONTROL!$C$29, 0.0021, 0)</f>
        <v>69.986499999999992</v>
      </c>
      <c r="E808" s="4">
        <f>359.577055179928 * CHOOSE(CONTROL!$C$10, $C$13, 100%, $E$13) + CHOOSE(CONTROL!$C$29, 0.0021, 0)</f>
        <v>359.57915517992797</v>
      </c>
    </row>
    <row r="809" spans="1:5" ht="15">
      <c r="A809" s="13">
        <v>65776</v>
      </c>
      <c r="B809" s="4">
        <f>53.4082 * CHOOSE(CONTROL!$C$10, $C$13, 100%, $E$13) + CHOOSE(CONTROL!$C$29, 0.0272, 0)</f>
        <v>53.435400000000001</v>
      </c>
      <c r="C809" s="4">
        <f>53.0449 * CHOOSE(CONTROL!$C$10, $C$13, 100%, $E$13) + CHOOSE(CONTROL!$C$29, 0.0272, 0)</f>
        <v>53.072099999999999</v>
      </c>
      <c r="D809" s="4">
        <f>67.0944 * CHOOSE(CONTROL!$C$10, $C$13, 100%, $E$13) + CHOOSE(CONTROL!$C$29, 0.0021, 0)</f>
        <v>67.096499999999992</v>
      </c>
      <c r="E809" s="4">
        <f>344.599209722639 * CHOOSE(CONTROL!$C$10, $C$13, 100%, $E$13) + CHOOSE(CONTROL!$C$29, 0.0021, 0)</f>
        <v>344.60130972263897</v>
      </c>
    </row>
    <row r="810" spans="1:5" ht="15">
      <c r="A810" s="13">
        <v>65805</v>
      </c>
      <c r="B810" s="4">
        <f>54.6579 * CHOOSE(CONTROL!$C$10, $C$13, 100%, $E$13) + CHOOSE(CONTROL!$C$29, 0.0272, 0)</f>
        <v>54.685099999999998</v>
      </c>
      <c r="C810" s="4">
        <f>54.2946 * CHOOSE(CONTROL!$C$10, $C$13, 100%, $E$13) + CHOOSE(CONTROL!$C$29, 0.0272, 0)</f>
        <v>54.321800000000003</v>
      </c>
      <c r="D810" s="4">
        <f>69.397 * CHOOSE(CONTROL!$C$10, $C$13, 100%, $E$13) + CHOOSE(CONTROL!$C$29, 0.0021, 0)</f>
        <v>69.399100000000004</v>
      </c>
      <c r="E810" s="4">
        <f>352.781352995734 * CHOOSE(CONTROL!$C$10, $C$13, 100%, $E$13) + CHOOSE(CONTROL!$C$29, 0.0021, 0)</f>
        <v>352.78345299573397</v>
      </c>
    </row>
    <row r="811" spans="1:5" ht="15">
      <c r="A811" s="13">
        <v>65836</v>
      </c>
      <c r="B811" s="4">
        <f>57.9398 * CHOOSE(CONTROL!$C$10, $C$13, 100%, $E$13) + CHOOSE(CONTROL!$C$29, 0.0272, 0)</f>
        <v>57.966999999999999</v>
      </c>
      <c r="C811" s="4">
        <f>57.5766 * CHOOSE(CONTROL!$C$10, $C$13, 100%, $E$13) + CHOOSE(CONTROL!$C$29, 0.0272, 0)</f>
        <v>57.6038</v>
      </c>
      <c r="D811" s="4">
        <f>73.0017 * CHOOSE(CONTROL!$C$10, $C$13, 100%, $E$13) + CHOOSE(CONTROL!$C$29, 0.0021, 0)</f>
        <v>73.003799999999998</v>
      </c>
      <c r="E811" s="4">
        <f>374.26809605638 * CHOOSE(CONTROL!$C$10, $C$13, 100%, $E$13) + CHOOSE(CONTROL!$C$29, 0.0021, 0)</f>
        <v>374.27019605637997</v>
      </c>
    </row>
    <row r="812" spans="1:5" ht="15">
      <c r="A812" s="13">
        <v>65866</v>
      </c>
      <c r="B812" s="4">
        <f>60.2717 * CHOOSE(CONTROL!$C$10, $C$13, 100%, $E$13) + CHOOSE(CONTROL!$C$29, 0.0272, 0)</f>
        <v>60.298900000000003</v>
      </c>
      <c r="C812" s="4">
        <f>59.9084 * CHOOSE(CONTROL!$C$10, $C$13, 100%, $E$13) + CHOOSE(CONTROL!$C$29, 0.0272, 0)</f>
        <v>59.935600000000001</v>
      </c>
      <c r="D812" s="4">
        <f>75.0781 * CHOOSE(CONTROL!$C$10, $C$13, 100%, $E$13) + CHOOSE(CONTROL!$C$29, 0.0021, 0)</f>
        <v>75.080200000000005</v>
      </c>
      <c r="E812" s="4">
        <f>389.534713349471 * CHOOSE(CONTROL!$C$10, $C$13, 100%, $E$13) + CHOOSE(CONTROL!$C$29, 0.0021, 0)</f>
        <v>389.536813349471</v>
      </c>
    </row>
    <row r="813" spans="1:5" ht="15">
      <c r="A813" s="13">
        <v>65897</v>
      </c>
      <c r="B813" s="4">
        <f>61.6964 * CHOOSE(CONTROL!$C$10, $C$13, 100%, $E$13) + CHOOSE(CONTROL!$C$29, 0.0272, 0)</f>
        <v>61.723599999999998</v>
      </c>
      <c r="C813" s="4">
        <f>61.3331 * CHOOSE(CONTROL!$C$10, $C$13, 100%, $E$13) + CHOOSE(CONTROL!$C$29, 0.0272, 0)</f>
        <v>61.360300000000002</v>
      </c>
      <c r="D813" s="4">
        <f>74.2576 * CHOOSE(CONTROL!$C$10, $C$13, 100%, $E$13) + CHOOSE(CONTROL!$C$29, 0.0021, 0)</f>
        <v>74.259699999999995</v>
      </c>
      <c r="E813" s="4">
        <f>398.862250625798 * CHOOSE(CONTROL!$C$10, $C$13, 100%, $E$13) + CHOOSE(CONTROL!$C$29, 0.0021, 0)</f>
        <v>398.86435062579801</v>
      </c>
    </row>
    <row r="814" spans="1:5" ht="15">
      <c r="A814" s="13">
        <v>65927</v>
      </c>
      <c r="B814" s="4">
        <f>61.8892 * CHOOSE(CONTROL!$C$10, $C$13, 100%, $E$13) + CHOOSE(CONTROL!$C$29, 0.0272, 0)</f>
        <v>61.916400000000003</v>
      </c>
      <c r="C814" s="4">
        <f>61.5259 * CHOOSE(CONTROL!$C$10, $C$13, 100%, $E$13) + CHOOSE(CONTROL!$C$29, 0.0272, 0)</f>
        <v>61.553100000000001</v>
      </c>
      <c r="D814" s="4">
        <f>74.9258 * CHOOSE(CONTROL!$C$10, $C$13, 100%, $E$13) + CHOOSE(CONTROL!$C$29, 0.0021, 0)</f>
        <v>74.927899999999994</v>
      </c>
      <c r="E814" s="4">
        <f>400.12430512936 * CHOOSE(CONTROL!$C$10, $C$13, 100%, $E$13) + CHOOSE(CONTROL!$C$29, 0.0021, 0)</f>
        <v>400.12640512935997</v>
      </c>
    </row>
    <row r="815" spans="1:5" ht="15">
      <c r="A815" s="13">
        <v>65958</v>
      </c>
      <c r="B815" s="4">
        <f>61.8697 * CHOOSE(CONTROL!$C$10, $C$13, 100%, $E$13) + CHOOSE(CONTROL!$C$29, 0.0272, 0)</f>
        <v>61.896900000000002</v>
      </c>
      <c r="C815" s="4">
        <f>61.5065 * CHOOSE(CONTROL!$C$10, $C$13, 100%, $E$13) + CHOOSE(CONTROL!$C$29, 0.0272, 0)</f>
        <v>61.533700000000003</v>
      </c>
      <c r="D815" s="4">
        <f>76.1315 * CHOOSE(CONTROL!$C$10, $C$13, 100%, $E$13) + CHOOSE(CONTROL!$C$29, 0.0021, 0)</f>
        <v>76.133600000000001</v>
      </c>
      <c r="E815" s="4">
        <f>399.997039129001 * CHOOSE(CONTROL!$C$10, $C$13, 100%, $E$13) + CHOOSE(CONTROL!$C$29, 0.0021, 0)</f>
        <v>399.99913912900098</v>
      </c>
    </row>
    <row r="816" spans="1:5" ht="15">
      <c r="A816" s="13">
        <v>65989</v>
      </c>
      <c r="B816" s="4">
        <f>63.3325 * CHOOSE(CONTROL!$C$10, $C$13, 100%, $E$13) + CHOOSE(CONTROL!$C$29, 0.0272, 0)</f>
        <v>63.359700000000004</v>
      </c>
      <c r="C816" s="4">
        <f>62.9692 * CHOOSE(CONTROL!$C$10, $C$13, 100%, $E$13) + CHOOSE(CONTROL!$C$29, 0.0272, 0)</f>
        <v>62.996400000000001</v>
      </c>
      <c r="D816" s="4">
        <f>75.3353 * CHOOSE(CONTROL!$C$10, $C$13, 100%, $E$13) + CHOOSE(CONTROL!$C$29, 0.0021, 0)</f>
        <v>75.337400000000002</v>
      </c>
      <c r="E816" s="4">
        <f>409.573805656031 * CHOOSE(CONTROL!$C$10, $C$13, 100%, $E$13) + CHOOSE(CONTROL!$C$29, 0.0021, 0)</f>
        <v>409.57590565603101</v>
      </c>
    </row>
    <row r="817" spans="1:5" ht="15">
      <c r="A817" s="13">
        <v>66019</v>
      </c>
      <c r="B817" s="4">
        <f>60.8395 * CHOOSE(CONTROL!$C$10, $C$13, 100%, $E$13) + CHOOSE(CONTROL!$C$29, 0.0272, 0)</f>
        <v>60.866700000000002</v>
      </c>
      <c r="C817" s="4">
        <f>60.4762 * CHOOSE(CONTROL!$C$10, $C$13, 100%, $E$13) + CHOOSE(CONTROL!$C$29, 0.0272, 0)</f>
        <v>60.503399999999999</v>
      </c>
      <c r="D817" s="4">
        <f>74.9591 * CHOOSE(CONTROL!$C$10, $C$13, 100%, $E$13) + CHOOSE(CONTROL!$C$29, 0.0021, 0)</f>
        <v>74.961200000000005</v>
      </c>
      <c r="E817" s="4">
        <f>393.251941109963 * CHOOSE(CONTROL!$C$10, $C$13, 100%, $E$13) + CHOOSE(CONTROL!$C$29, 0.0021, 0)</f>
        <v>393.254041109963</v>
      </c>
    </row>
    <row r="818" spans="1:5" ht="15">
      <c r="A818" s="13">
        <v>66050</v>
      </c>
      <c r="B818" s="4">
        <f>58.8438 * CHOOSE(CONTROL!$C$10, $C$13, 100%, $E$13) + CHOOSE(CONTROL!$C$29, 0.0272, 0)</f>
        <v>58.871000000000002</v>
      </c>
      <c r="C818" s="4">
        <f>58.4805 * CHOOSE(CONTROL!$C$10, $C$13, 100%, $E$13) + CHOOSE(CONTROL!$C$29, 0.0272, 0)</f>
        <v>58.5077</v>
      </c>
      <c r="D818" s="4">
        <f>73.9517 * CHOOSE(CONTROL!$C$10, $C$13, 100%, $E$13) + CHOOSE(CONTROL!$C$29, 0.0021, 0)</f>
        <v>73.953800000000001</v>
      </c>
      <c r="E818" s="4">
        <f>380.185965073084 * CHOOSE(CONTROL!$C$10, $C$13, 100%, $E$13) + CHOOSE(CONTROL!$C$29, 0.0021, 0)</f>
        <v>380.18806507308398</v>
      </c>
    </row>
    <row r="819" spans="1:5" ht="15">
      <c r="A819" s="13">
        <v>66080</v>
      </c>
      <c r="B819" s="4">
        <f>57.5584 * CHOOSE(CONTROL!$C$10, $C$13, 100%, $E$13) + CHOOSE(CONTROL!$C$29, 0.0272, 0)</f>
        <v>57.585599999999999</v>
      </c>
      <c r="C819" s="4">
        <f>57.1951 * CHOOSE(CONTROL!$C$10, $C$13, 100%, $E$13) + CHOOSE(CONTROL!$C$29, 0.0272, 0)</f>
        <v>57.222299999999997</v>
      </c>
      <c r="D819" s="4">
        <f>73.6054 * CHOOSE(CONTROL!$C$10, $C$13, 100%, $E$13) + CHOOSE(CONTROL!$C$29, 0.0021, 0)</f>
        <v>73.607500000000002</v>
      </c>
      <c r="E819" s="4">
        <f>371.770500799331 * CHOOSE(CONTROL!$C$10, $C$13, 100%, $E$13) + CHOOSE(CONTROL!$C$29, 0.0021, 0)</f>
        <v>371.77260079933097</v>
      </c>
    </row>
    <row r="820" spans="1:5" ht="15">
      <c r="A820" s="13">
        <v>66111</v>
      </c>
      <c r="B820" s="4">
        <f>56.669 * CHOOSE(CONTROL!$C$10, $C$13, 100%, $E$13) + CHOOSE(CONTROL!$C$29, 0.0272, 0)</f>
        <v>56.696199999999997</v>
      </c>
      <c r="C820" s="4">
        <f>56.3058 * CHOOSE(CONTROL!$C$10, $C$13, 100%, $E$13) + CHOOSE(CONTROL!$C$29, 0.0272, 0)</f>
        <v>56.332999999999998</v>
      </c>
      <c r="D820" s="4">
        <f>71.0557 * CHOOSE(CONTROL!$C$10, $C$13, 100%, $E$13) + CHOOSE(CONTROL!$C$29, 0.0021, 0)</f>
        <v>71.0578</v>
      </c>
      <c r="E820" s="4">
        <f>365.948081282897 * CHOOSE(CONTROL!$C$10, $C$13, 100%, $E$13) + CHOOSE(CONTROL!$C$29, 0.0021, 0)</f>
        <v>365.95018128289701</v>
      </c>
    </row>
    <row r="821" spans="1:5" ht="15">
      <c r="A821" s="13">
        <v>66142</v>
      </c>
      <c r="B821" s="4">
        <f>54.3381 * CHOOSE(CONTROL!$C$10, $C$13, 100%, $E$13) + CHOOSE(CONTROL!$C$29, 0.0272, 0)</f>
        <v>54.365299999999998</v>
      </c>
      <c r="C821" s="4">
        <f>53.9748 * CHOOSE(CONTROL!$C$10, $C$13, 100%, $E$13) + CHOOSE(CONTROL!$C$29, 0.0272, 0)</f>
        <v>54.002000000000002</v>
      </c>
      <c r="D821" s="4">
        <f>68.1203 * CHOOSE(CONTROL!$C$10, $C$13, 100%, $E$13) + CHOOSE(CONTROL!$C$29, 0.0021, 0)</f>
        <v>68.122399999999999</v>
      </c>
      <c r="E821" s="4">
        <f>350.704856700327 * CHOOSE(CONTROL!$C$10, $C$13, 100%, $E$13) + CHOOSE(CONTROL!$C$29, 0.0021, 0)</f>
        <v>350.706956700327</v>
      </c>
    </row>
    <row r="822" spans="1:5" ht="15">
      <c r="A822" s="13">
        <v>66170</v>
      </c>
      <c r="B822" s="4">
        <f>55.61 * CHOOSE(CONTROL!$C$10, $C$13, 100%, $E$13) + CHOOSE(CONTROL!$C$29, 0.0272, 0)</f>
        <v>55.6372</v>
      </c>
      <c r="C822" s="4">
        <f>55.2467 * CHOOSE(CONTROL!$C$10, $C$13, 100%, $E$13) + CHOOSE(CONTROL!$C$29, 0.0272, 0)</f>
        <v>55.273899999999998</v>
      </c>
      <c r="D822" s="4">
        <f>70.4592 * CHOOSE(CONTROL!$C$10, $C$13, 100%, $E$13) + CHOOSE(CONTROL!$C$29, 0.0021, 0)</f>
        <v>70.461299999999994</v>
      </c>
      <c r="E822" s="4">
        <f>359.031972094474 * CHOOSE(CONTROL!$C$10, $C$13, 100%, $E$13) + CHOOSE(CONTROL!$C$29, 0.0021, 0)</f>
        <v>359.03407209447397</v>
      </c>
    </row>
    <row r="823" spans="1:5" ht="15">
      <c r="A823" s="13">
        <v>66201</v>
      </c>
      <c r="B823" s="4">
        <f>58.9499 * CHOOSE(CONTROL!$C$10, $C$13, 100%, $E$13) + CHOOSE(CONTROL!$C$29, 0.0272, 0)</f>
        <v>58.9771</v>
      </c>
      <c r="C823" s="4">
        <f>58.5866 * CHOOSE(CONTROL!$C$10, $C$13, 100%, $E$13) + CHOOSE(CONTROL!$C$29, 0.0272, 0)</f>
        <v>58.613799999999998</v>
      </c>
      <c r="D823" s="4">
        <f>74.1205 * CHOOSE(CONTROL!$C$10, $C$13, 100%, $E$13) + CHOOSE(CONTROL!$C$29, 0.0021, 0)</f>
        <v>74.122600000000006</v>
      </c>
      <c r="E823" s="4">
        <f>380.89941964929 * CHOOSE(CONTROL!$C$10, $C$13, 100%, $E$13) + CHOOSE(CONTROL!$C$29, 0.0021, 0)</f>
        <v>380.90151964928998</v>
      </c>
    </row>
    <row r="824" spans="1:5" ht="15">
      <c r="A824" s="13">
        <v>66231</v>
      </c>
      <c r="B824" s="4">
        <f>61.3229 * CHOOSE(CONTROL!$C$10, $C$13, 100%, $E$13) + CHOOSE(CONTROL!$C$29, 0.0272, 0)</f>
        <v>61.350099999999998</v>
      </c>
      <c r="C824" s="4">
        <f>60.9596 * CHOOSE(CONTROL!$C$10, $C$13, 100%, $E$13) + CHOOSE(CONTROL!$C$29, 0.0272, 0)</f>
        <v>60.986800000000002</v>
      </c>
      <c r="D824" s="4">
        <f>76.2296 * CHOOSE(CONTROL!$C$10, $C$13, 100%, $E$13) + CHOOSE(CONTROL!$C$29, 0.0021, 0)</f>
        <v>76.231700000000004</v>
      </c>
      <c r="E824" s="4">
        <f>396.436532559042 * CHOOSE(CONTROL!$C$10, $C$13, 100%, $E$13) + CHOOSE(CONTROL!$C$29, 0.0021, 0)</f>
        <v>396.43863255904199</v>
      </c>
    </row>
    <row r="825" spans="1:5" ht="15">
      <c r="A825" s="13">
        <v>66262</v>
      </c>
      <c r="B825" s="4">
        <f>62.7728 * CHOOSE(CONTROL!$C$10, $C$13, 100%, $E$13) + CHOOSE(CONTROL!$C$29, 0.0272, 0)</f>
        <v>62.8</v>
      </c>
      <c r="C825" s="4">
        <f>62.4095 * CHOOSE(CONTROL!$C$10, $C$13, 100%, $E$13) + CHOOSE(CONTROL!$C$29, 0.0272, 0)</f>
        <v>62.436700000000002</v>
      </c>
      <c r="D825" s="4">
        <f>75.3962 * CHOOSE(CONTROL!$C$10, $C$13, 100%, $E$13) + CHOOSE(CONTROL!$C$29, 0.0021, 0)</f>
        <v>75.398299999999992</v>
      </c>
      <c r="E825" s="4">
        <f>405.929336174274 * CHOOSE(CONTROL!$C$10, $C$13, 100%, $E$13) + CHOOSE(CONTROL!$C$29, 0.0021, 0)</f>
        <v>405.93143617427398</v>
      </c>
    </row>
    <row r="826" spans="1:5" ht="15">
      <c r="A826" s="13">
        <v>66292</v>
      </c>
      <c r="B826" s="4">
        <f>62.969 * CHOOSE(CONTROL!$C$10, $C$13, 100%, $E$13) + CHOOSE(CONTROL!$C$29, 0.0272, 0)</f>
        <v>62.996200000000002</v>
      </c>
      <c r="C826" s="4">
        <f>62.6057 * CHOOSE(CONTROL!$C$10, $C$13, 100%, $E$13) + CHOOSE(CONTROL!$C$29, 0.0272, 0)</f>
        <v>62.632899999999999</v>
      </c>
      <c r="D826" s="4">
        <f>76.0749 * CHOOSE(CONTROL!$C$10, $C$13, 100%, $E$13) + CHOOSE(CONTROL!$C$29, 0.0021, 0)</f>
        <v>76.076999999999998</v>
      </c>
      <c r="E826" s="4">
        <f>407.21375189936 * CHOOSE(CONTROL!$C$10, $C$13, 100%, $E$13) + CHOOSE(CONTROL!$C$29, 0.0021, 0)</f>
        <v>407.21585189935996</v>
      </c>
    </row>
    <row r="827" spans="1:5" ht="15">
      <c r="A827" s="13">
        <v>66323</v>
      </c>
      <c r="B827" s="4">
        <f>62.9492 * CHOOSE(CONTROL!$C$10, $C$13, 100%, $E$13) + CHOOSE(CONTROL!$C$29, 0.0272, 0)</f>
        <v>62.976399999999998</v>
      </c>
      <c r="C827" s="4">
        <f>62.5859 * CHOOSE(CONTROL!$C$10, $C$13, 100%, $E$13) + CHOOSE(CONTROL!$C$29, 0.0272, 0)</f>
        <v>62.613100000000003</v>
      </c>
      <c r="D827" s="4">
        <f>77.2996 * CHOOSE(CONTROL!$C$10, $C$13, 100%, $E$13) + CHOOSE(CONTROL!$C$29, 0.0021, 0)</f>
        <v>77.301699999999997</v>
      </c>
      <c r="E827" s="4">
        <f>407.084230985906 * CHOOSE(CONTROL!$C$10, $C$13, 100%, $E$13) + CHOOSE(CONTROL!$C$29, 0.0021, 0)</f>
        <v>407.08633098590599</v>
      </c>
    </row>
    <row r="828" spans="1:5" ht="15">
      <c r="A828" s="13">
        <v>66354</v>
      </c>
      <c r="B828" s="4">
        <f>64.4378 * CHOOSE(CONTROL!$C$10, $C$13, 100%, $E$13) + CHOOSE(CONTROL!$C$29, 0.0272, 0)</f>
        <v>64.464999999999989</v>
      </c>
      <c r="C828" s="4">
        <f>64.0745 * CHOOSE(CONTROL!$C$10, $C$13, 100%, $E$13) + CHOOSE(CONTROL!$C$29, 0.0272, 0)</f>
        <v>64.101699999999994</v>
      </c>
      <c r="D828" s="4">
        <f>76.4908 * CHOOSE(CONTROL!$C$10, $C$13, 100%, $E$13) + CHOOSE(CONTROL!$C$29, 0.0021, 0)</f>
        <v>76.492899999999992</v>
      </c>
      <c r="E828" s="4">
        <f>416.830679723319 * CHOOSE(CONTROL!$C$10, $C$13, 100%, $E$13) + CHOOSE(CONTROL!$C$29, 0.0021, 0)</f>
        <v>416.83277972331899</v>
      </c>
    </row>
    <row r="829" spans="1:5" ht="15">
      <c r="A829" s="13">
        <v>66384</v>
      </c>
      <c r="B829" s="4">
        <f>61.9007 * CHOOSE(CONTROL!$C$10, $C$13, 100%, $E$13) + CHOOSE(CONTROL!$C$29, 0.0272, 0)</f>
        <v>61.927900000000001</v>
      </c>
      <c r="C829" s="4">
        <f>61.5375 * CHOOSE(CONTROL!$C$10, $C$13, 100%, $E$13) + CHOOSE(CONTROL!$C$29, 0.0272, 0)</f>
        <v>61.564700000000002</v>
      </c>
      <c r="D829" s="4">
        <f>76.1087 * CHOOSE(CONTROL!$C$10, $C$13, 100%, $E$13) + CHOOSE(CONTROL!$C$29, 0.0021, 0)</f>
        <v>76.110799999999998</v>
      </c>
      <c r="E829" s="4">
        <f>400.219622572844 * CHOOSE(CONTROL!$C$10, $C$13, 100%, $E$13) + CHOOSE(CONTROL!$C$29, 0.0021, 0)</f>
        <v>400.22172257284399</v>
      </c>
    </row>
    <row r="830" spans="1:5" ht="15">
      <c r="A830" s="13">
        <v>66415</v>
      </c>
      <c r="B830" s="4">
        <f>59.8698 * CHOOSE(CONTROL!$C$10, $C$13, 100%, $E$13) + CHOOSE(CONTROL!$C$29, 0.0272, 0)</f>
        <v>59.896999999999998</v>
      </c>
      <c r="C830" s="4">
        <f>59.5065 * CHOOSE(CONTROL!$C$10, $C$13, 100%, $E$13) + CHOOSE(CONTROL!$C$29, 0.0272, 0)</f>
        <v>59.533700000000003</v>
      </c>
      <c r="D830" s="4">
        <f>75.0855 * CHOOSE(CONTROL!$C$10, $C$13, 100%, $E$13) + CHOOSE(CONTROL!$C$29, 0.0021, 0)</f>
        <v>75.087599999999995</v>
      </c>
      <c r="E830" s="4">
        <f>386.9221421249 * CHOOSE(CONTROL!$C$10, $C$13, 100%, $E$13) + CHOOSE(CONTROL!$C$29, 0.0021, 0)</f>
        <v>386.92424212489999</v>
      </c>
    </row>
    <row r="831" spans="1:5" ht="15">
      <c r="A831" s="13">
        <v>66445</v>
      </c>
      <c r="B831" s="4">
        <f>58.5617 * CHOOSE(CONTROL!$C$10, $C$13, 100%, $E$13) + CHOOSE(CONTROL!$C$29, 0.0272, 0)</f>
        <v>58.588900000000002</v>
      </c>
      <c r="C831" s="4">
        <f>58.1984 * CHOOSE(CONTROL!$C$10, $C$13, 100%, $E$13) + CHOOSE(CONTROL!$C$29, 0.0272, 0)</f>
        <v>58.2256</v>
      </c>
      <c r="D831" s="4">
        <f>74.7337 * CHOOSE(CONTROL!$C$10, $C$13, 100%, $E$13) + CHOOSE(CONTROL!$C$29, 0.0021, 0)</f>
        <v>74.735799999999998</v>
      </c>
      <c r="E831" s="4">
        <f>378.357571722755 * CHOOSE(CONTROL!$C$10, $C$13, 100%, $E$13) + CHOOSE(CONTROL!$C$29, 0.0021, 0)</f>
        <v>378.35967172275497</v>
      </c>
    </row>
    <row r="832" spans="1:5" ht="15">
      <c r="A832" s="13">
        <v>66476</v>
      </c>
      <c r="B832" s="4">
        <f>57.6566 * CHOOSE(CONTROL!$C$10, $C$13, 100%, $E$13) + CHOOSE(CONTROL!$C$29, 0.0272, 0)</f>
        <v>57.683799999999998</v>
      </c>
      <c r="C832" s="4">
        <f>57.2933 * CHOOSE(CONTROL!$C$10, $C$13, 100%, $E$13) + CHOOSE(CONTROL!$C$29, 0.0272, 0)</f>
        <v>57.320500000000003</v>
      </c>
      <c r="D832" s="4">
        <f>72.144 * CHOOSE(CONTROL!$C$10, $C$13, 100%, $E$13) + CHOOSE(CONTROL!$C$29, 0.0021, 0)</f>
        <v>72.146100000000004</v>
      </c>
      <c r="E832" s="4">
        <f>372.431989932235 * CHOOSE(CONTROL!$C$10, $C$13, 100%, $E$13) + CHOOSE(CONTROL!$C$29, 0.0021, 0)</f>
        <v>372.434089932235</v>
      </c>
    </row>
    <row r="833" spans="1:5" ht="15">
      <c r="A833" s="13">
        <v>66507</v>
      </c>
      <c r="B833" s="4">
        <f>55.2845 * CHOOSE(CONTROL!$C$10, $C$13, 100%, $E$13) + CHOOSE(CONTROL!$C$29, 0.0272, 0)</f>
        <v>55.311700000000002</v>
      </c>
      <c r="C833" s="4">
        <f>54.9212 * CHOOSE(CONTROL!$C$10, $C$13, 100%, $E$13) + CHOOSE(CONTROL!$C$29, 0.0272, 0)</f>
        <v>54.948399999999999</v>
      </c>
      <c r="D833" s="4">
        <f>69.1624 * CHOOSE(CONTROL!$C$10, $C$13, 100%, $E$13) + CHOOSE(CONTROL!$C$29, 0.0021, 0)</f>
        <v>69.164500000000004</v>
      </c>
      <c r="E833" s="4">
        <f>356.91868420764 * CHOOSE(CONTROL!$C$10, $C$13, 100%, $E$13) + CHOOSE(CONTROL!$C$29, 0.0021, 0)</f>
        <v>356.92078420764</v>
      </c>
    </row>
    <row r="834" spans="1:5" ht="15">
      <c r="A834" s="13">
        <v>66535</v>
      </c>
      <c r="B834" s="4">
        <f>56.5788 * CHOOSE(CONTROL!$C$10, $C$13, 100%, $E$13) + CHOOSE(CONTROL!$C$29, 0.0272, 0)</f>
        <v>56.606000000000002</v>
      </c>
      <c r="C834" s="4">
        <f>56.2156 * CHOOSE(CONTROL!$C$10, $C$13, 100%, $E$13) + CHOOSE(CONTROL!$C$29, 0.0272, 0)</f>
        <v>56.242800000000003</v>
      </c>
      <c r="D834" s="4">
        <f>71.538 * CHOOSE(CONTROL!$C$10, $C$13, 100%, $E$13) + CHOOSE(CONTROL!$C$29, 0.0021, 0)</f>
        <v>71.540099999999995</v>
      </c>
      <c r="E834" s="4">
        <f>365.393340354942 * CHOOSE(CONTROL!$C$10, $C$13, 100%, $E$13) + CHOOSE(CONTROL!$C$29, 0.0021, 0)</f>
        <v>365.39544035494197</v>
      </c>
    </row>
    <row r="835" spans="1:5" ht="15">
      <c r="A835" s="13">
        <v>66566</v>
      </c>
      <c r="B835" s="4">
        <f>59.9778 * CHOOSE(CONTROL!$C$10, $C$13, 100%, $E$13) + CHOOSE(CONTROL!$C$29, 0.0272, 0)</f>
        <v>60.005000000000003</v>
      </c>
      <c r="C835" s="4">
        <f>59.6145 * CHOOSE(CONTROL!$C$10, $C$13, 100%, $E$13) + CHOOSE(CONTROL!$C$29, 0.0272, 0)</f>
        <v>59.6417</v>
      </c>
      <c r="D835" s="4">
        <f>75.2569 * CHOOSE(CONTROL!$C$10, $C$13, 100%, $E$13) + CHOOSE(CONTROL!$C$29, 0.0021, 0)</f>
        <v>75.259</v>
      </c>
      <c r="E835" s="4">
        <f>387.648237768335 * CHOOSE(CONTROL!$C$10, $C$13, 100%, $E$13) + CHOOSE(CONTROL!$C$29, 0.0021, 0)</f>
        <v>387.65033776833496</v>
      </c>
    </row>
    <row r="836" spans="1:5" ht="15">
      <c r="A836" s="13">
        <v>66596</v>
      </c>
      <c r="B836" s="4">
        <f>62.3927 * CHOOSE(CONTROL!$C$10, $C$13, 100%, $E$13) + CHOOSE(CONTROL!$C$29, 0.0272, 0)</f>
        <v>62.419899999999998</v>
      </c>
      <c r="C836" s="4">
        <f>62.0295 * CHOOSE(CONTROL!$C$10, $C$13, 100%, $E$13) + CHOOSE(CONTROL!$C$29, 0.0272, 0)</f>
        <v>62.056699999999999</v>
      </c>
      <c r="D836" s="4">
        <f>77.3991 * CHOOSE(CONTROL!$C$10, $C$13, 100%, $E$13) + CHOOSE(CONTROL!$C$29, 0.0021, 0)</f>
        <v>77.401200000000003</v>
      </c>
      <c r="E836" s="4">
        <f>403.460638966054 * CHOOSE(CONTROL!$C$10, $C$13, 100%, $E$13) + CHOOSE(CONTROL!$C$29, 0.0021, 0)</f>
        <v>403.46273896605396</v>
      </c>
    </row>
    <row r="837" spans="1:5" ht="15">
      <c r="A837" s="13">
        <v>66627</v>
      </c>
      <c r="B837" s="4">
        <f>63.8682 * CHOOSE(CONTROL!$C$10, $C$13, 100%, $E$13) + CHOOSE(CONTROL!$C$29, 0.0272, 0)</f>
        <v>63.895400000000002</v>
      </c>
      <c r="C837" s="4">
        <f>63.5049 * CHOOSE(CONTROL!$C$10, $C$13, 100%, $E$13) + CHOOSE(CONTROL!$C$29, 0.0272, 0)</f>
        <v>63.5321</v>
      </c>
      <c r="D837" s="4">
        <f>76.5526 * CHOOSE(CONTROL!$C$10, $C$13, 100%, $E$13) + CHOOSE(CONTROL!$C$29, 0.0021, 0)</f>
        <v>76.554699999999997</v>
      </c>
      <c r="E837" s="4">
        <f>413.121637127495 * CHOOSE(CONTROL!$C$10, $C$13, 100%, $E$13) + CHOOSE(CONTROL!$C$29, 0.0021, 0)</f>
        <v>413.12373712749496</v>
      </c>
    </row>
    <row r="838" spans="1:5" ht="15">
      <c r="A838" s="13">
        <v>66657</v>
      </c>
      <c r="B838" s="4">
        <f>64.0679 * CHOOSE(CONTROL!$C$10, $C$13, 100%, $E$13) + CHOOSE(CONTROL!$C$29, 0.0272, 0)</f>
        <v>64.095099999999988</v>
      </c>
      <c r="C838" s="4">
        <f>63.7046 * CHOOSE(CONTROL!$C$10, $C$13, 100%, $E$13) + CHOOSE(CONTROL!$C$29, 0.0272, 0)</f>
        <v>63.7318</v>
      </c>
      <c r="D838" s="4">
        <f>77.242 * CHOOSE(CONTROL!$C$10, $C$13, 100%, $E$13) + CHOOSE(CONTROL!$C$29, 0.0021, 0)</f>
        <v>77.244100000000003</v>
      </c>
      <c r="E838" s="4">
        <f>414.428810272704 * CHOOSE(CONTROL!$C$10, $C$13, 100%, $E$13) + CHOOSE(CONTROL!$C$29, 0.0021, 0)</f>
        <v>414.43091027270401</v>
      </c>
    </row>
    <row r="839" spans="1:5" ht="15">
      <c r="A839" s="13">
        <v>66688</v>
      </c>
      <c r="B839" s="4">
        <f>64.0477 * CHOOSE(CONTROL!$C$10, $C$13, 100%, $E$13) + CHOOSE(CONTROL!$C$29, 0.0272, 0)</f>
        <v>64.0749</v>
      </c>
      <c r="C839" s="4">
        <f>63.6845 * CHOOSE(CONTROL!$C$10, $C$13, 100%, $E$13) + CHOOSE(CONTROL!$C$29, 0.0272, 0)</f>
        <v>63.7117</v>
      </c>
      <c r="D839" s="4">
        <f>78.486 * CHOOSE(CONTROL!$C$10, $C$13, 100%, $E$13) + CHOOSE(CONTROL!$C$29, 0.0021, 0)</f>
        <v>78.488100000000003</v>
      </c>
      <c r="E839" s="4">
        <f>414.296994493355 * CHOOSE(CONTROL!$C$10, $C$13, 100%, $E$13) + CHOOSE(CONTROL!$C$29, 0.0021, 0)</f>
        <v>414.29909449335497</v>
      </c>
    </row>
    <row r="840" spans="1:5" ht="15">
      <c r="A840" s="13">
        <v>66719</v>
      </c>
      <c r="B840" s="4">
        <f>65.5627 * CHOOSE(CONTROL!$C$10, $C$13, 100%, $E$13) + CHOOSE(CONTROL!$C$29, 0.0272, 0)</f>
        <v>65.5899</v>
      </c>
      <c r="C840" s="4">
        <f>65.1994 * CHOOSE(CONTROL!$C$10, $C$13, 100%, $E$13) + CHOOSE(CONTROL!$C$29, 0.0272, 0)</f>
        <v>65.226599999999991</v>
      </c>
      <c r="D840" s="4">
        <f>77.6645 * CHOOSE(CONTROL!$C$10, $C$13, 100%, $E$13) + CHOOSE(CONTROL!$C$29, 0.0021, 0)</f>
        <v>77.666600000000003</v>
      </c>
      <c r="E840" s="4">
        <f>424.216131889354 * CHOOSE(CONTROL!$C$10, $C$13, 100%, $E$13) + CHOOSE(CONTROL!$C$29, 0.0021, 0)</f>
        <v>424.218231889354</v>
      </c>
    </row>
    <row r="841" spans="1:5" ht="15">
      <c r="A841" s="13">
        <v>66749</v>
      </c>
      <c r="B841" s="4">
        <f>62.9808 * CHOOSE(CONTROL!$C$10, $C$13, 100%, $E$13) + CHOOSE(CONTROL!$C$29, 0.0272, 0)</f>
        <v>63.008000000000003</v>
      </c>
      <c r="C841" s="4">
        <f>62.6175 * CHOOSE(CONTROL!$C$10, $C$13, 100%, $E$13) + CHOOSE(CONTROL!$C$29, 0.0272, 0)</f>
        <v>62.6447</v>
      </c>
      <c r="D841" s="4">
        <f>77.2763 * CHOOSE(CONTROL!$C$10, $C$13, 100%, $E$13) + CHOOSE(CONTROL!$C$29, 0.0021, 0)</f>
        <v>77.278400000000005</v>
      </c>
      <c r="E841" s="4">
        <f>407.310758187868 * CHOOSE(CONTROL!$C$10, $C$13, 100%, $E$13) + CHOOSE(CONTROL!$C$29, 0.0021, 0)</f>
        <v>407.31285818786796</v>
      </c>
    </row>
    <row r="842" spans="1:5" ht="15">
      <c r="A842" s="13">
        <v>66780</v>
      </c>
      <c r="B842" s="4">
        <f>60.9139 * CHOOSE(CONTROL!$C$10, $C$13, 100%, $E$13) + CHOOSE(CONTROL!$C$29, 0.0272, 0)</f>
        <v>60.941099999999999</v>
      </c>
      <c r="C842" s="4">
        <f>60.5506 * CHOOSE(CONTROL!$C$10, $C$13, 100%, $E$13) + CHOOSE(CONTROL!$C$29, 0.0272, 0)</f>
        <v>60.577800000000003</v>
      </c>
      <c r="D842" s="4">
        <f>76.2371 * CHOOSE(CONTROL!$C$10, $C$13, 100%, $E$13) + CHOOSE(CONTROL!$C$29, 0.0021, 0)</f>
        <v>76.239199999999997</v>
      </c>
      <c r="E842" s="4">
        <f>393.777671508055 * CHOOSE(CONTROL!$C$10, $C$13, 100%, $E$13) + CHOOSE(CONTROL!$C$29, 0.0021, 0)</f>
        <v>393.77977150805498</v>
      </c>
    </row>
    <row r="843" spans="1:5" ht="15">
      <c r="A843" s="13">
        <v>66810</v>
      </c>
      <c r="B843" s="4">
        <f>59.5827 * CHOOSE(CONTROL!$C$10, $C$13, 100%, $E$13) + CHOOSE(CONTROL!$C$29, 0.0272, 0)</f>
        <v>59.609900000000003</v>
      </c>
      <c r="C843" s="4">
        <f>59.2194 * CHOOSE(CONTROL!$C$10, $C$13, 100%, $E$13) + CHOOSE(CONTROL!$C$29, 0.0272, 0)</f>
        <v>59.246600000000001</v>
      </c>
      <c r="D843" s="4">
        <f>75.8798 * CHOOSE(CONTROL!$C$10, $C$13, 100%, $E$13) + CHOOSE(CONTROL!$C$29, 0.0021, 0)</f>
        <v>75.881900000000002</v>
      </c>
      <c r="E843" s="4">
        <f>385.061353098614 * CHOOSE(CONTROL!$C$10, $C$13, 100%, $E$13) + CHOOSE(CONTROL!$C$29, 0.0021, 0)</f>
        <v>385.06345309861399</v>
      </c>
    </row>
    <row r="844" spans="1:5" ht="15">
      <c r="A844" s="13">
        <v>66841</v>
      </c>
      <c r="B844" s="4">
        <f>58.6616 * CHOOSE(CONTROL!$C$10, $C$13, 100%, $E$13) + CHOOSE(CONTROL!$C$29, 0.0272, 0)</f>
        <v>58.688800000000001</v>
      </c>
      <c r="C844" s="4">
        <f>58.2984 * CHOOSE(CONTROL!$C$10, $C$13, 100%, $E$13) + CHOOSE(CONTROL!$C$29, 0.0272, 0)</f>
        <v>58.325600000000001</v>
      </c>
      <c r="D844" s="4">
        <f>73.2493 * CHOOSE(CONTROL!$C$10, $C$13, 100%, $E$13) + CHOOSE(CONTROL!$C$29, 0.0021, 0)</f>
        <v>73.251400000000004</v>
      </c>
      <c r="E844" s="4">
        <f>379.030781193405 * CHOOSE(CONTROL!$C$10, $C$13, 100%, $E$13) + CHOOSE(CONTROL!$C$29, 0.0021, 0)</f>
        <v>379.03288119340499</v>
      </c>
    </row>
    <row r="845" spans="1:5" ht="15">
      <c r="A845" s="13">
        <v>66872</v>
      </c>
      <c r="B845" s="4">
        <f>56.2476 * CHOOSE(CONTROL!$C$10, $C$13, 100%, $E$13) + CHOOSE(CONTROL!$C$29, 0.0272, 0)</f>
        <v>56.274799999999999</v>
      </c>
      <c r="C845" s="4">
        <f>55.8844 * CHOOSE(CONTROL!$C$10, $C$13, 100%, $E$13) + CHOOSE(CONTROL!$C$29, 0.0272, 0)</f>
        <v>55.9116</v>
      </c>
      <c r="D845" s="4">
        <f>70.2208 * CHOOSE(CONTROL!$C$10, $C$13, 100%, $E$13) + CHOOSE(CONTROL!$C$29, 0.0021, 0)</f>
        <v>70.222899999999996</v>
      </c>
      <c r="E845" s="4">
        <f>363.242608999188 * CHOOSE(CONTROL!$C$10, $C$13, 100%, $E$13) + CHOOSE(CONTROL!$C$29, 0.0021, 0)</f>
        <v>363.24470899918799</v>
      </c>
    </row>
    <row r="846" spans="1:5" ht="15">
      <c r="A846" s="13">
        <v>66900</v>
      </c>
      <c r="B846" s="4">
        <f>57.5648 * CHOOSE(CONTROL!$C$10, $C$13, 100%, $E$13) + CHOOSE(CONTROL!$C$29, 0.0272, 0)</f>
        <v>57.591999999999999</v>
      </c>
      <c r="C846" s="4">
        <f>57.2015 * CHOOSE(CONTROL!$C$10, $C$13, 100%, $E$13) + CHOOSE(CONTROL!$C$29, 0.0272, 0)</f>
        <v>57.228700000000003</v>
      </c>
      <c r="D846" s="4">
        <f>72.6338 * CHOOSE(CONTROL!$C$10, $C$13, 100%, $E$13) + CHOOSE(CONTROL!$C$29, 0.0021, 0)</f>
        <v>72.635899999999992</v>
      </c>
      <c r="E846" s="4">
        <f>371.867420043056 * CHOOSE(CONTROL!$C$10, $C$13, 100%, $E$13) + CHOOSE(CONTROL!$C$29, 0.0021, 0)</f>
        <v>371.86952004305596</v>
      </c>
    </row>
    <row r="847" spans="1:5" ht="15">
      <c r="A847" s="13">
        <v>66931</v>
      </c>
      <c r="B847" s="4">
        <f>61.0238 * CHOOSE(CONTROL!$C$10, $C$13, 100%, $E$13) + CHOOSE(CONTROL!$C$29, 0.0272, 0)</f>
        <v>61.051000000000002</v>
      </c>
      <c r="C847" s="4">
        <f>60.6605 * CHOOSE(CONTROL!$C$10, $C$13, 100%, $E$13) + CHOOSE(CONTROL!$C$29, 0.0272, 0)</f>
        <v>60.6877</v>
      </c>
      <c r="D847" s="4">
        <f>76.4112 * CHOOSE(CONTROL!$C$10, $C$13, 100%, $E$13) + CHOOSE(CONTROL!$C$29, 0.0021, 0)</f>
        <v>76.413299999999992</v>
      </c>
      <c r="E847" s="4">
        <f>394.516632194547 * CHOOSE(CONTROL!$C$10, $C$13, 100%, $E$13) + CHOOSE(CONTROL!$C$29, 0.0021, 0)</f>
        <v>394.518732194547</v>
      </c>
    </row>
    <row r="848" spans="1:5" ht="15">
      <c r="A848" s="13">
        <v>66961</v>
      </c>
      <c r="B848" s="4">
        <f>63.4814 * CHOOSE(CONTROL!$C$10, $C$13, 100%, $E$13) + CHOOSE(CONTROL!$C$29, 0.0272, 0)</f>
        <v>63.508600000000001</v>
      </c>
      <c r="C848" s="4">
        <f>63.1182 * CHOOSE(CONTROL!$C$10, $C$13, 100%, $E$13) + CHOOSE(CONTROL!$C$29, 0.0272, 0)</f>
        <v>63.145400000000002</v>
      </c>
      <c r="D848" s="4">
        <f>78.5871 * CHOOSE(CONTROL!$C$10, $C$13, 100%, $E$13) + CHOOSE(CONTROL!$C$29, 0.0021, 0)</f>
        <v>78.589200000000005</v>
      </c>
      <c r="E848" s="4">
        <f>410.609199268621 * CHOOSE(CONTROL!$C$10, $C$13, 100%, $E$13) + CHOOSE(CONTROL!$C$29, 0.0021, 0)</f>
        <v>410.611299268621</v>
      </c>
    </row>
    <row r="849" spans="1:5" ht="15">
      <c r="A849" s="13">
        <v>66992</v>
      </c>
      <c r="B849" s="4">
        <f>64.983 * CHOOSE(CONTROL!$C$10, $C$13, 100%, $E$13) + CHOOSE(CONTROL!$C$29, 0.0272, 0)</f>
        <v>65.010199999999998</v>
      </c>
      <c r="C849" s="4">
        <f>64.6197 * CHOOSE(CONTROL!$C$10, $C$13, 100%, $E$13) + CHOOSE(CONTROL!$C$29, 0.0272, 0)</f>
        <v>64.646899999999988</v>
      </c>
      <c r="D849" s="4">
        <f>77.7273 * CHOOSE(CONTROL!$C$10, $C$13, 100%, $E$13) + CHOOSE(CONTROL!$C$29, 0.0021, 0)</f>
        <v>77.729399999999998</v>
      </c>
      <c r="E849" s="4">
        <f>420.441372065875 * CHOOSE(CONTROL!$C$10, $C$13, 100%, $E$13) + CHOOSE(CONTROL!$C$29, 0.0021, 0)</f>
        <v>420.44347206587497</v>
      </c>
    </row>
    <row r="850" spans="1:5" ht="15">
      <c r="A850" s="13">
        <v>67022</v>
      </c>
      <c r="B850" s="4">
        <f>65.1862 * CHOOSE(CONTROL!$C$10, $C$13, 100%, $E$13) + CHOOSE(CONTROL!$C$29, 0.0272, 0)</f>
        <v>65.213399999999993</v>
      </c>
      <c r="C850" s="4">
        <f>64.8229 * CHOOSE(CONTROL!$C$10, $C$13, 100%, $E$13) + CHOOSE(CONTROL!$C$29, 0.0272, 0)</f>
        <v>64.850099999999998</v>
      </c>
      <c r="D850" s="4">
        <f>78.4276 * CHOOSE(CONTROL!$C$10, $C$13, 100%, $E$13) + CHOOSE(CONTROL!$C$29, 0.0021, 0)</f>
        <v>78.429699999999997</v>
      </c>
      <c r="E850" s="4">
        <f>421.771705849699 * CHOOSE(CONTROL!$C$10, $C$13, 100%, $E$13) + CHOOSE(CONTROL!$C$29, 0.0021, 0)</f>
        <v>421.77380584969899</v>
      </c>
    </row>
    <row r="851" spans="1:5" ht="15">
      <c r="A851" s="13">
        <v>67053</v>
      </c>
      <c r="B851" s="4">
        <f>65.1657 * CHOOSE(CONTROL!$C$10, $C$13, 100%, $E$13) + CHOOSE(CONTROL!$C$29, 0.0272, 0)</f>
        <v>65.192899999999995</v>
      </c>
      <c r="C851" s="4">
        <f>64.8024 * CHOOSE(CONTROL!$C$10, $C$13, 100%, $E$13) + CHOOSE(CONTROL!$C$29, 0.0272, 0)</f>
        <v>64.829599999999999</v>
      </c>
      <c r="D851" s="4">
        <f>79.6911 * CHOOSE(CONTROL!$C$10, $C$13, 100%, $E$13) + CHOOSE(CONTROL!$C$29, 0.0021, 0)</f>
        <v>79.693200000000004</v>
      </c>
      <c r="E851" s="4">
        <f>421.637554543767 * CHOOSE(CONTROL!$C$10, $C$13, 100%, $E$13) + CHOOSE(CONTROL!$C$29, 0.0021, 0)</f>
        <v>421.63965454376699</v>
      </c>
    </row>
    <row r="852" spans="1:5" ht="15">
      <c r="A852" s="13">
        <v>67084</v>
      </c>
      <c r="B852" s="4">
        <f>66.7074 * CHOOSE(CONTROL!$C$10, $C$13, 100%, $E$13) + CHOOSE(CONTROL!$C$29, 0.0272, 0)</f>
        <v>66.7346</v>
      </c>
      <c r="C852" s="4">
        <f>66.3441 * CHOOSE(CONTROL!$C$10, $C$13, 100%, $E$13) + CHOOSE(CONTROL!$C$29, 0.0272, 0)</f>
        <v>66.371299999999991</v>
      </c>
      <c r="D852" s="4">
        <f>78.8566 * CHOOSE(CONTROL!$C$10, $C$13, 100%, $E$13) + CHOOSE(CONTROL!$C$29, 0.0021, 0)</f>
        <v>78.858699999999999</v>
      </c>
      <c r="E852" s="4">
        <f>431.732440315138 * CHOOSE(CONTROL!$C$10, $C$13, 100%, $E$13) + CHOOSE(CONTROL!$C$29, 0.0021, 0)</f>
        <v>431.73454031513796</v>
      </c>
    </row>
    <row r="853" spans="1:5" ht="15">
      <c r="A853" s="13">
        <v>67114</v>
      </c>
      <c r="B853" s="4">
        <f>64.0798 * CHOOSE(CONTROL!$C$10, $C$13, 100%, $E$13) + CHOOSE(CONTROL!$C$29, 0.0272, 0)</f>
        <v>64.106999999999999</v>
      </c>
      <c r="C853" s="4">
        <f>63.7166 * CHOOSE(CONTROL!$C$10, $C$13, 100%, $E$13) + CHOOSE(CONTROL!$C$29, 0.0272, 0)</f>
        <v>63.7438</v>
      </c>
      <c r="D853" s="4">
        <f>78.4624 * CHOOSE(CONTROL!$C$10, $C$13, 100%, $E$13) + CHOOSE(CONTROL!$C$29, 0.0021, 0)</f>
        <v>78.464500000000001</v>
      </c>
      <c r="E853" s="4">
        <f>414.52753532938 * CHOOSE(CONTROL!$C$10, $C$13, 100%, $E$13) + CHOOSE(CONTROL!$C$29, 0.0021, 0)</f>
        <v>414.52963532937997</v>
      </c>
    </row>
    <row r="854" spans="1:5" ht="15">
      <c r="A854" s="13">
        <v>67145</v>
      </c>
      <c r="B854" s="4">
        <f>61.9765 * CHOOSE(CONTROL!$C$10, $C$13, 100%, $E$13) + CHOOSE(CONTROL!$C$29, 0.0272, 0)</f>
        <v>62.003700000000002</v>
      </c>
      <c r="C854" s="4">
        <f>61.6132 * CHOOSE(CONTROL!$C$10, $C$13, 100%, $E$13) + CHOOSE(CONTROL!$C$29, 0.0272, 0)</f>
        <v>61.6404</v>
      </c>
      <c r="D854" s="4">
        <f>77.4068 * CHOOSE(CONTROL!$C$10, $C$13, 100%, $E$13) + CHOOSE(CONTROL!$C$29, 0.0021, 0)</f>
        <v>77.408900000000003</v>
      </c>
      <c r="E854" s="4">
        <f>400.754667920378 * CHOOSE(CONTROL!$C$10, $C$13, 100%, $E$13) + CHOOSE(CONTROL!$C$29, 0.0021, 0)</f>
        <v>400.75676792037797</v>
      </c>
    </row>
    <row r="855" spans="1:5" ht="15">
      <c r="A855" s="13">
        <v>67175</v>
      </c>
      <c r="B855" s="4">
        <f>60.6217 * CHOOSE(CONTROL!$C$10, $C$13, 100%, $E$13) + CHOOSE(CONTROL!$C$29, 0.0272, 0)</f>
        <v>60.648899999999998</v>
      </c>
      <c r="C855" s="4">
        <f>60.2584 * CHOOSE(CONTROL!$C$10, $C$13, 100%, $E$13) + CHOOSE(CONTROL!$C$29, 0.0272, 0)</f>
        <v>60.285600000000002</v>
      </c>
      <c r="D855" s="4">
        <f>77.0439 * CHOOSE(CONTROL!$C$10, $C$13, 100%, $E$13) + CHOOSE(CONTROL!$C$29, 0.0021, 0)</f>
        <v>77.045999999999992</v>
      </c>
      <c r="E855" s="4">
        <f>391.883912815635 * CHOOSE(CONTROL!$C$10, $C$13, 100%, $E$13) + CHOOSE(CONTROL!$C$29, 0.0021, 0)</f>
        <v>391.88601281563496</v>
      </c>
    </row>
    <row r="856" spans="1:5" ht="15">
      <c r="A856" s="13">
        <v>67206</v>
      </c>
      <c r="B856" s="4">
        <f>59.6844 * CHOOSE(CONTROL!$C$10, $C$13, 100%, $E$13) + CHOOSE(CONTROL!$C$29, 0.0272, 0)</f>
        <v>59.711599999999997</v>
      </c>
      <c r="C856" s="4">
        <f>59.3211 * CHOOSE(CONTROL!$C$10, $C$13, 100%, $E$13) + CHOOSE(CONTROL!$C$29, 0.0272, 0)</f>
        <v>59.348300000000002</v>
      </c>
      <c r="D856" s="4">
        <f>74.372 * CHOOSE(CONTROL!$C$10, $C$13, 100%, $E$13) + CHOOSE(CONTROL!$C$29, 0.0021, 0)</f>
        <v>74.374099999999999</v>
      </c>
      <c r="E856" s="4">
        <f>385.746490569254 * CHOOSE(CONTROL!$C$10, $C$13, 100%, $E$13) + CHOOSE(CONTROL!$C$29, 0.0021, 0)</f>
        <v>385.74859056925396</v>
      </c>
    </row>
    <row r="857" spans="1:5" ht="15">
      <c r="A857" s="13">
        <v>67237</v>
      </c>
      <c r="B857" s="4">
        <f>57.2278 * CHOOSE(CONTROL!$C$10, $C$13, 100%, $E$13) + CHOOSE(CONTROL!$C$29, 0.0272, 0)</f>
        <v>57.255000000000003</v>
      </c>
      <c r="C857" s="4">
        <f>56.8645 * CHOOSE(CONTROL!$C$10, $C$13, 100%, $E$13) + CHOOSE(CONTROL!$C$29, 0.0272, 0)</f>
        <v>56.8917</v>
      </c>
      <c r="D857" s="4">
        <f>71.2959 * CHOOSE(CONTROL!$C$10, $C$13, 100%, $E$13) + CHOOSE(CONTROL!$C$29, 0.0021, 0)</f>
        <v>71.298000000000002</v>
      </c>
      <c r="E857" s="4">
        <f>369.67858179085 * CHOOSE(CONTROL!$C$10, $C$13, 100%, $E$13) + CHOOSE(CONTROL!$C$29, 0.0021, 0)</f>
        <v>369.68068179084997</v>
      </c>
    </row>
    <row r="858" spans="1:5" ht="15">
      <c r="A858" s="13">
        <v>67266</v>
      </c>
      <c r="B858" s="4">
        <f>58.5682 * CHOOSE(CONTROL!$C$10, $C$13, 100%, $E$13) + CHOOSE(CONTROL!$C$29, 0.0272, 0)</f>
        <v>58.595399999999998</v>
      </c>
      <c r="C858" s="4">
        <f>58.2049 * CHOOSE(CONTROL!$C$10, $C$13, 100%, $E$13) + CHOOSE(CONTROL!$C$29, 0.0272, 0)</f>
        <v>58.232100000000003</v>
      </c>
      <c r="D858" s="4">
        <f>73.7469 * CHOOSE(CONTROL!$C$10, $C$13, 100%, $E$13) + CHOOSE(CONTROL!$C$29, 0.0021, 0)</f>
        <v>73.748999999999995</v>
      </c>
      <c r="E858" s="4">
        <f>378.456208192378 * CHOOSE(CONTROL!$C$10, $C$13, 100%, $E$13) + CHOOSE(CONTROL!$C$29, 0.0021, 0)</f>
        <v>378.45830819237801</v>
      </c>
    </row>
    <row r="859" spans="1:5" ht="15">
      <c r="A859" s="13">
        <v>67297</v>
      </c>
      <c r="B859" s="4">
        <f>62.0883 * CHOOSE(CONTROL!$C$10, $C$13, 100%, $E$13) + CHOOSE(CONTROL!$C$29, 0.0272, 0)</f>
        <v>62.115499999999997</v>
      </c>
      <c r="C859" s="4">
        <f>61.725 * CHOOSE(CONTROL!$C$10, $C$13, 100%, $E$13) + CHOOSE(CONTROL!$C$29, 0.0272, 0)</f>
        <v>61.752200000000002</v>
      </c>
      <c r="D859" s="4">
        <f>77.5837 * CHOOSE(CONTROL!$C$10, $C$13, 100%, $E$13) + CHOOSE(CONTROL!$C$29, 0.0021, 0)</f>
        <v>77.585799999999992</v>
      </c>
      <c r="E859" s="4">
        <f>401.506721594187 * CHOOSE(CONTROL!$C$10, $C$13, 100%, $E$13) + CHOOSE(CONTROL!$C$29, 0.0021, 0)</f>
        <v>401.508821594187</v>
      </c>
    </row>
    <row r="860" spans="1:5" ht="15">
      <c r="A860" s="13">
        <v>67327</v>
      </c>
      <c r="B860" s="4">
        <f>64.5894 * CHOOSE(CONTROL!$C$10, $C$13, 100%, $E$13) + CHOOSE(CONTROL!$C$29, 0.0272, 0)</f>
        <v>64.616599999999991</v>
      </c>
      <c r="C860" s="4">
        <f>64.2261 * CHOOSE(CONTROL!$C$10, $C$13, 100%, $E$13) + CHOOSE(CONTROL!$C$29, 0.0272, 0)</f>
        <v>64.253299999999996</v>
      </c>
      <c r="D860" s="4">
        <f>79.7938 * CHOOSE(CONTROL!$C$10, $C$13, 100%, $E$13) + CHOOSE(CONTROL!$C$29, 0.0021, 0)</f>
        <v>79.795900000000003</v>
      </c>
      <c r="E860" s="4">
        <f>417.884418554652 * CHOOSE(CONTROL!$C$10, $C$13, 100%, $E$13) + CHOOSE(CONTROL!$C$29, 0.0021, 0)</f>
        <v>417.88651855465196</v>
      </c>
    </row>
    <row r="861" spans="1:5" ht="15">
      <c r="A861" s="13">
        <v>67358</v>
      </c>
      <c r="B861" s="4">
        <f>66.1175 * CHOOSE(CONTROL!$C$10, $C$13, 100%, $E$13) + CHOOSE(CONTROL!$C$29, 0.0272, 0)</f>
        <v>66.1447</v>
      </c>
      <c r="C861" s="4">
        <f>65.7542 * CHOOSE(CONTROL!$C$10, $C$13, 100%, $E$13) + CHOOSE(CONTROL!$C$29, 0.0272, 0)</f>
        <v>65.781399999999991</v>
      </c>
      <c r="D861" s="4">
        <f>78.9204 * CHOOSE(CONTROL!$C$10, $C$13, 100%, $E$13) + CHOOSE(CONTROL!$C$29, 0.0021, 0)</f>
        <v>78.922499999999999</v>
      </c>
      <c r="E861" s="4">
        <f>427.890798878883 * CHOOSE(CONTROL!$C$10, $C$13, 100%, $E$13) + CHOOSE(CONTROL!$C$29, 0.0021, 0)</f>
        <v>427.89289887888299</v>
      </c>
    </row>
    <row r="862" spans="1:5" ht="15">
      <c r="A862" s="13">
        <v>67388</v>
      </c>
      <c r="B862" s="4">
        <f>66.3242 * CHOOSE(CONTROL!$C$10, $C$13, 100%, $E$13) + CHOOSE(CONTROL!$C$29, 0.0272, 0)</f>
        <v>66.351399999999998</v>
      </c>
      <c r="C862" s="4">
        <f>65.961 * CHOOSE(CONTROL!$C$10, $C$13, 100%, $E$13) + CHOOSE(CONTROL!$C$29, 0.0272, 0)</f>
        <v>65.988199999999992</v>
      </c>
      <c r="D862" s="4">
        <f>79.6317 * CHOOSE(CONTROL!$C$10, $C$13, 100%, $E$13) + CHOOSE(CONTROL!$C$29, 0.0021, 0)</f>
        <v>79.633799999999994</v>
      </c>
      <c r="E862" s="4">
        <f>429.244703664083 * CHOOSE(CONTROL!$C$10, $C$13, 100%, $E$13) + CHOOSE(CONTROL!$C$29, 0.0021, 0)</f>
        <v>429.24680366408296</v>
      </c>
    </row>
    <row r="863" spans="1:5" ht="15">
      <c r="A863" s="13">
        <v>67419</v>
      </c>
      <c r="B863" s="4">
        <f>66.3034 * CHOOSE(CONTROL!$C$10, $C$13, 100%, $E$13) + CHOOSE(CONTROL!$C$29, 0.0272, 0)</f>
        <v>66.33059999999999</v>
      </c>
      <c r="C863" s="4">
        <f>65.9401 * CHOOSE(CONTROL!$C$10, $C$13, 100%, $E$13) + CHOOSE(CONTROL!$C$29, 0.0272, 0)</f>
        <v>65.967299999999994</v>
      </c>
      <c r="D863" s="4">
        <f>80.9151 * CHOOSE(CONTROL!$C$10, $C$13, 100%, $E$13) + CHOOSE(CONTROL!$C$29, 0.0021, 0)</f>
        <v>80.917199999999994</v>
      </c>
      <c r="E863" s="4">
        <f>429.108175450449 * CHOOSE(CONTROL!$C$10, $C$13, 100%, $E$13) + CHOOSE(CONTROL!$C$29, 0.0021, 0)</f>
        <v>429.11027545044897</v>
      </c>
    </row>
    <row r="864" spans="1:5" ht="15">
      <c r="A864" s="13">
        <v>67450</v>
      </c>
      <c r="B864" s="4">
        <f>67.8723 * CHOOSE(CONTROL!$C$10, $C$13, 100%, $E$13) + CHOOSE(CONTROL!$C$29, 0.0272, 0)</f>
        <v>67.899499999999989</v>
      </c>
      <c r="C864" s="4">
        <f>67.509 * CHOOSE(CONTROL!$C$10, $C$13, 100%, $E$13) + CHOOSE(CONTROL!$C$29, 0.0272, 0)</f>
        <v>67.536199999999994</v>
      </c>
      <c r="D864" s="4">
        <f>80.0675 * CHOOSE(CONTROL!$C$10, $C$13, 100%, $E$13) + CHOOSE(CONTROL!$C$29, 0.0021, 0)</f>
        <v>80.069599999999994</v>
      </c>
      <c r="E864" s="4">
        <f>439.381923526378 * CHOOSE(CONTROL!$C$10, $C$13, 100%, $E$13) + CHOOSE(CONTROL!$C$29, 0.0021, 0)</f>
        <v>439.38402352637797</v>
      </c>
    </row>
    <row r="865" spans="1:5" ht="15">
      <c r="A865" s="13">
        <v>67480</v>
      </c>
      <c r="B865" s="4">
        <f>65.1984 * CHOOSE(CONTROL!$C$10, $C$13, 100%, $E$13) + CHOOSE(CONTROL!$C$29, 0.0272, 0)</f>
        <v>65.2256</v>
      </c>
      <c r="C865" s="4">
        <f>64.8351 * CHOOSE(CONTROL!$C$10, $C$13, 100%, $E$13) + CHOOSE(CONTROL!$C$29, 0.0272, 0)</f>
        <v>64.862299999999991</v>
      </c>
      <c r="D865" s="4">
        <f>79.6671 * CHOOSE(CONTROL!$C$10, $C$13, 100%, $E$13) + CHOOSE(CONTROL!$C$29, 0.0021, 0)</f>
        <v>79.669200000000004</v>
      </c>
      <c r="E865" s="4">
        <f>421.872180127868 * CHOOSE(CONTROL!$C$10, $C$13, 100%, $E$13) + CHOOSE(CONTROL!$C$29, 0.0021, 0)</f>
        <v>421.87428012786796</v>
      </c>
    </row>
    <row r="866" spans="1:5" ht="15">
      <c r="A866" s="13">
        <v>67511</v>
      </c>
      <c r="B866" s="4">
        <f>63.0578 * CHOOSE(CONTROL!$C$10, $C$13, 100%, $E$13) + CHOOSE(CONTROL!$C$29, 0.0272, 0)</f>
        <v>63.085000000000001</v>
      </c>
      <c r="C866" s="4">
        <f>62.6945 * CHOOSE(CONTROL!$C$10, $C$13, 100%, $E$13) + CHOOSE(CONTROL!$C$29, 0.0272, 0)</f>
        <v>62.721699999999998</v>
      </c>
      <c r="D866" s="4">
        <f>78.5949 * CHOOSE(CONTROL!$C$10, $C$13, 100%, $E$13) + CHOOSE(CONTROL!$C$29, 0.0021, 0)</f>
        <v>78.596999999999994</v>
      </c>
      <c r="E866" s="4">
        <f>407.85528352815 * CHOOSE(CONTROL!$C$10, $C$13, 100%, $E$13) + CHOOSE(CONTROL!$C$29, 0.0021, 0)</f>
        <v>407.85738352814997</v>
      </c>
    </row>
    <row r="867" spans="1:5" ht="15">
      <c r="A867" s="13">
        <v>67541</v>
      </c>
      <c r="B867" s="4">
        <f>61.6791 * CHOOSE(CONTROL!$C$10, $C$13, 100%, $E$13) + CHOOSE(CONTROL!$C$29, 0.0272, 0)</f>
        <v>61.706299999999999</v>
      </c>
      <c r="C867" s="4">
        <f>61.3159 * CHOOSE(CONTROL!$C$10, $C$13, 100%, $E$13) + CHOOSE(CONTROL!$C$29, 0.0272, 0)</f>
        <v>61.3431</v>
      </c>
      <c r="D867" s="4">
        <f>78.2262 * CHOOSE(CONTROL!$C$10, $C$13, 100%, $E$13) + CHOOSE(CONTROL!$C$29, 0.0021, 0)</f>
        <v>78.228300000000004</v>
      </c>
      <c r="E867" s="4">
        <f>398.827355401627 * CHOOSE(CONTROL!$C$10, $C$13, 100%, $E$13) + CHOOSE(CONTROL!$C$29, 0.0021, 0)</f>
        <v>398.829455401627</v>
      </c>
    </row>
    <row r="868" spans="1:5" ht="15">
      <c r="A868" s="13">
        <v>67572</v>
      </c>
      <c r="B868" s="4">
        <f>60.7253 * CHOOSE(CONTROL!$C$10, $C$13, 100%, $E$13) + CHOOSE(CONTROL!$C$29, 0.0272, 0)</f>
        <v>60.752499999999998</v>
      </c>
      <c r="C868" s="4">
        <f>60.362 * CHOOSE(CONTROL!$C$10, $C$13, 100%, $E$13) + CHOOSE(CONTROL!$C$29, 0.0272, 0)</f>
        <v>60.389200000000002</v>
      </c>
      <c r="D868" s="4">
        <f>75.5124 * CHOOSE(CONTROL!$C$10, $C$13, 100%, $E$13) + CHOOSE(CONTROL!$C$29, 0.0021, 0)</f>
        <v>75.514499999999998</v>
      </c>
      <c r="E868" s="4">
        <f>392.581189627889 * CHOOSE(CONTROL!$C$10, $C$13, 100%, $E$13) + CHOOSE(CONTROL!$C$29, 0.0021, 0)</f>
        <v>392.58328962788897</v>
      </c>
    </row>
    <row r="869" spans="1:5" ht="15">
      <c r="A869" s="13">
        <v>67603</v>
      </c>
      <c r="B869" s="4">
        <f>58.2252 * CHOOSE(CONTROL!$C$10, $C$13, 100%, $E$13) + CHOOSE(CONTROL!$C$29, 0.0272, 0)</f>
        <v>58.252400000000002</v>
      </c>
      <c r="C869" s="4">
        <f>57.8619 * CHOOSE(CONTROL!$C$10, $C$13, 100%, $E$13) + CHOOSE(CONTROL!$C$29, 0.0272, 0)</f>
        <v>57.889099999999999</v>
      </c>
      <c r="D869" s="4">
        <f>72.3879 * CHOOSE(CONTROL!$C$10, $C$13, 100%, $E$13) + CHOOSE(CONTROL!$C$29, 0.0021, 0)</f>
        <v>72.39</v>
      </c>
      <c r="E869" s="4">
        <f>376.228587861508 * CHOOSE(CONTROL!$C$10, $C$13, 100%, $E$13) + CHOOSE(CONTROL!$C$29, 0.0021, 0)</f>
        <v>376.23068786150799</v>
      </c>
    </row>
    <row r="870" spans="1:5" ht="15">
      <c r="A870" s="13">
        <v>67631</v>
      </c>
      <c r="B870" s="4">
        <f>59.5894 * CHOOSE(CONTROL!$C$10, $C$13, 100%, $E$13) + CHOOSE(CONTROL!$C$29, 0.0272, 0)</f>
        <v>59.616599999999998</v>
      </c>
      <c r="C870" s="4">
        <f>59.2261 * CHOOSE(CONTROL!$C$10, $C$13, 100%, $E$13) + CHOOSE(CONTROL!$C$29, 0.0272, 0)</f>
        <v>59.253300000000003</v>
      </c>
      <c r="D870" s="4">
        <f>74.8774 * CHOOSE(CONTROL!$C$10, $C$13, 100%, $E$13) + CHOOSE(CONTROL!$C$29, 0.0021, 0)</f>
        <v>74.879499999999993</v>
      </c>
      <c r="E870" s="4">
        <f>385.161737220135 * CHOOSE(CONTROL!$C$10, $C$13, 100%, $E$13) + CHOOSE(CONTROL!$C$29, 0.0021, 0)</f>
        <v>385.16383722013501</v>
      </c>
    </row>
    <row r="871" spans="1:5" ht="15">
      <c r="A871" s="13">
        <v>67662</v>
      </c>
      <c r="B871" s="4">
        <f>63.1716 * CHOOSE(CONTROL!$C$10, $C$13, 100%, $E$13) + CHOOSE(CONTROL!$C$29, 0.0272, 0)</f>
        <v>63.198799999999999</v>
      </c>
      <c r="C871" s="4">
        <f>62.8084 * CHOOSE(CONTROL!$C$10, $C$13, 100%, $E$13) + CHOOSE(CONTROL!$C$29, 0.0272, 0)</f>
        <v>62.835599999999999</v>
      </c>
      <c r="D871" s="4">
        <f>78.7745 * CHOOSE(CONTROL!$C$10, $C$13, 100%, $E$13) + CHOOSE(CONTROL!$C$29, 0.0021, 0)</f>
        <v>78.776600000000002</v>
      </c>
      <c r="E871" s="4">
        <f>408.620662172275 * CHOOSE(CONTROL!$C$10, $C$13, 100%, $E$13) + CHOOSE(CONTROL!$C$29, 0.0021, 0)</f>
        <v>408.62276217227497</v>
      </c>
    </row>
    <row r="872" spans="1:5" ht="15">
      <c r="A872" s="13">
        <v>67692</v>
      </c>
      <c r="B872" s="4">
        <f>65.7169 * CHOOSE(CONTROL!$C$10, $C$13, 100%, $E$13) + CHOOSE(CONTROL!$C$29, 0.0272, 0)</f>
        <v>65.744099999999989</v>
      </c>
      <c r="C872" s="4">
        <f>65.3536 * CHOOSE(CONTROL!$C$10, $C$13, 100%, $E$13) + CHOOSE(CONTROL!$C$29, 0.0272, 0)</f>
        <v>65.380799999999994</v>
      </c>
      <c r="D872" s="4">
        <f>81.0194 * CHOOSE(CONTROL!$C$10, $C$13, 100%, $E$13) + CHOOSE(CONTROL!$C$29, 0.0021, 0)</f>
        <v>81.021500000000003</v>
      </c>
      <c r="E872" s="4">
        <f>425.288540982051 * CHOOSE(CONTROL!$C$10, $C$13, 100%, $E$13) + CHOOSE(CONTROL!$C$29, 0.0021, 0)</f>
        <v>425.290640982051</v>
      </c>
    </row>
    <row r="873" spans="1:5" ht="15">
      <c r="A873" s="13">
        <v>67723</v>
      </c>
      <c r="B873" s="4">
        <f>67.272 * CHOOSE(CONTROL!$C$10, $C$13, 100%, $E$13) + CHOOSE(CONTROL!$C$29, 0.0272, 0)</f>
        <v>67.299199999999999</v>
      </c>
      <c r="C873" s="4">
        <f>66.9087 * CHOOSE(CONTROL!$C$10, $C$13, 100%, $E$13) + CHOOSE(CONTROL!$C$29, 0.0272, 0)</f>
        <v>66.93589999999999</v>
      </c>
      <c r="D873" s="4">
        <f>80.1323 * CHOOSE(CONTROL!$C$10, $C$13, 100%, $E$13) + CHOOSE(CONTROL!$C$29, 0.0021, 0)</f>
        <v>80.134399999999999</v>
      </c>
      <c r="E873" s="4">
        <f>435.472215461521 * CHOOSE(CONTROL!$C$10, $C$13, 100%, $E$13) + CHOOSE(CONTROL!$C$29, 0.0021, 0)</f>
        <v>435.47431546152097</v>
      </c>
    </row>
    <row r="874" spans="1:5" ht="15">
      <c r="A874" s="13">
        <v>67753</v>
      </c>
      <c r="B874" s="4">
        <f>67.4824 * CHOOSE(CONTROL!$C$10, $C$13, 100%, $E$13) + CHOOSE(CONTROL!$C$29, 0.0272, 0)</f>
        <v>67.509599999999992</v>
      </c>
      <c r="C874" s="4">
        <f>67.1191 * CHOOSE(CONTROL!$C$10, $C$13, 100%, $E$13) + CHOOSE(CONTROL!$C$29, 0.0272, 0)</f>
        <v>67.146299999999997</v>
      </c>
      <c r="D874" s="4">
        <f>80.8548 * CHOOSE(CONTROL!$C$10, $C$13, 100%, $E$13) + CHOOSE(CONTROL!$C$29, 0.0021, 0)</f>
        <v>80.856899999999996</v>
      </c>
      <c r="E874" s="4">
        <f>436.850108881711 * CHOOSE(CONTROL!$C$10, $C$13, 100%, $E$13) + CHOOSE(CONTROL!$C$29, 0.0021, 0)</f>
        <v>436.85220888171096</v>
      </c>
    </row>
    <row r="875" spans="1:5" ht="15">
      <c r="A875" s="13">
        <v>67784</v>
      </c>
      <c r="B875" s="4">
        <f>67.4612 * CHOOSE(CONTROL!$C$10, $C$13, 100%, $E$13) + CHOOSE(CONTROL!$C$29, 0.0272, 0)</f>
        <v>67.488399999999999</v>
      </c>
      <c r="C875" s="4">
        <f>67.0979 * CHOOSE(CONTROL!$C$10, $C$13, 100%, $E$13) + CHOOSE(CONTROL!$C$29, 0.0272, 0)</f>
        <v>67.125099999999989</v>
      </c>
      <c r="D875" s="4">
        <f>82.1583 * CHOOSE(CONTROL!$C$10, $C$13, 100%, $E$13) + CHOOSE(CONTROL!$C$29, 0.0021, 0)</f>
        <v>82.160399999999996</v>
      </c>
      <c r="E875" s="4">
        <f>436.711161646062 * CHOOSE(CONTROL!$C$10, $C$13, 100%, $E$13) + CHOOSE(CONTROL!$C$29, 0.0021, 0)</f>
        <v>436.71326164606199</v>
      </c>
    </row>
    <row r="876" spans="1:5" ht="15">
      <c r="A876" s="13">
        <v>67815</v>
      </c>
      <c r="B876" s="4">
        <f>69.0578 * CHOOSE(CONTROL!$C$10, $C$13, 100%, $E$13) + CHOOSE(CONTROL!$C$29, 0.0272, 0)</f>
        <v>69.084999999999994</v>
      </c>
      <c r="C876" s="4">
        <f>68.6946 * CHOOSE(CONTROL!$C$10, $C$13, 100%, $E$13) + CHOOSE(CONTROL!$C$29, 0.0272, 0)</f>
        <v>68.721799999999988</v>
      </c>
      <c r="D876" s="4">
        <f>81.2975 * CHOOSE(CONTROL!$C$10, $C$13, 100%, $E$13) + CHOOSE(CONTROL!$C$29, 0.0021, 0)</f>
        <v>81.299599999999998</v>
      </c>
      <c r="E876" s="4">
        <f>447.166941128679 * CHOOSE(CONTROL!$C$10, $C$13, 100%, $E$13) + CHOOSE(CONTROL!$C$29, 0.0021, 0)</f>
        <v>447.169041128679</v>
      </c>
    </row>
    <row r="877" spans="1:5" ht="15">
      <c r="A877" s="13">
        <v>67845</v>
      </c>
      <c r="B877" s="4">
        <f>66.3366 * CHOOSE(CONTROL!$C$10, $C$13, 100%, $E$13) + CHOOSE(CONTROL!$C$29, 0.0272, 0)</f>
        <v>66.363799999999998</v>
      </c>
      <c r="C877" s="4">
        <f>65.9734 * CHOOSE(CONTROL!$C$10, $C$13, 100%, $E$13) + CHOOSE(CONTROL!$C$29, 0.0272, 0)</f>
        <v>66.000599999999991</v>
      </c>
      <c r="D877" s="4">
        <f>80.8907 * CHOOSE(CONTROL!$C$10, $C$13, 100%, $E$13) + CHOOSE(CONTROL!$C$29, 0.0021, 0)</f>
        <v>80.892799999999994</v>
      </c>
      <c r="E877" s="4">
        <f>429.346958156644 * CHOOSE(CONTROL!$C$10, $C$13, 100%, $E$13) + CHOOSE(CONTROL!$C$29, 0.0021, 0)</f>
        <v>429.34905815664399</v>
      </c>
    </row>
    <row r="878" spans="1:5" ht="15">
      <c r="A878" s="13">
        <v>67876</v>
      </c>
      <c r="B878" s="4">
        <f>64.1583 * CHOOSE(CONTROL!$C$10, $C$13, 100%, $E$13) + CHOOSE(CONTROL!$C$29, 0.0272, 0)</f>
        <v>64.18549999999999</v>
      </c>
      <c r="C878" s="4">
        <f>63.795 * CHOOSE(CONTROL!$C$10, $C$13, 100%, $E$13) + CHOOSE(CONTROL!$C$29, 0.0272, 0)</f>
        <v>63.822200000000002</v>
      </c>
      <c r="D878" s="4">
        <f>79.8017 * CHOOSE(CONTROL!$C$10, $C$13, 100%, $E$13) + CHOOSE(CONTROL!$C$29, 0.0021, 0)</f>
        <v>79.803799999999995</v>
      </c>
      <c r="E878" s="4">
        <f>415.081708629972 * CHOOSE(CONTROL!$C$10, $C$13, 100%, $E$13) + CHOOSE(CONTROL!$C$29, 0.0021, 0)</f>
        <v>415.083808629972</v>
      </c>
    </row>
    <row r="879" spans="1:5" ht="15">
      <c r="A879" s="13">
        <v>67906</v>
      </c>
      <c r="B879" s="4">
        <f>62.7552 * CHOOSE(CONTROL!$C$10, $C$13, 100%, $E$13) + CHOOSE(CONTROL!$C$29, 0.0272, 0)</f>
        <v>62.782400000000003</v>
      </c>
      <c r="C879" s="4">
        <f>62.392 * CHOOSE(CONTROL!$C$10, $C$13, 100%, $E$13) + CHOOSE(CONTROL!$C$29, 0.0272, 0)</f>
        <v>62.419200000000004</v>
      </c>
      <c r="D879" s="4">
        <f>79.4272 * CHOOSE(CONTROL!$C$10, $C$13, 100%, $E$13) + CHOOSE(CONTROL!$C$29, 0.0021, 0)</f>
        <v>79.429299999999998</v>
      </c>
      <c r="E879" s="4">
        <f>405.893822672655 * CHOOSE(CONTROL!$C$10, $C$13, 100%, $E$13) + CHOOSE(CONTROL!$C$29, 0.0021, 0)</f>
        <v>405.89592267265499</v>
      </c>
    </row>
    <row r="880" spans="1:5" ht="15">
      <c r="A880" s="13">
        <v>67937</v>
      </c>
      <c r="B880" s="4">
        <f>61.7845 * CHOOSE(CONTROL!$C$10, $C$13, 100%, $E$13) + CHOOSE(CONTROL!$C$29, 0.0272, 0)</f>
        <v>61.811700000000002</v>
      </c>
      <c r="C880" s="4">
        <f>61.4212 * CHOOSE(CONTROL!$C$10, $C$13, 100%, $E$13) + CHOOSE(CONTROL!$C$29, 0.0272, 0)</f>
        <v>61.448399999999999</v>
      </c>
      <c r="D880" s="4">
        <f>76.6707 * CHOOSE(CONTROL!$C$10, $C$13, 100%, $E$13) + CHOOSE(CONTROL!$C$29, 0.0021, 0)</f>
        <v>76.672799999999995</v>
      </c>
      <c r="E880" s="4">
        <f>399.536986641695 * CHOOSE(CONTROL!$C$10, $C$13, 100%, $E$13) + CHOOSE(CONTROL!$C$29, 0.0021, 0)</f>
        <v>399.53908664169501</v>
      </c>
    </row>
    <row r="881" spans="1:5" ht="15">
      <c r="A881" s="13">
        <v>67968</v>
      </c>
      <c r="B881" s="4">
        <f>59.2403 * CHOOSE(CONTROL!$C$10, $C$13, 100%, $E$13) + CHOOSE(CONTROL!$C$29, 0.0272, 0)</f>
        <v>59.267499999999998</v>
      </c>
      <c r="C881" s="4">
        <f>58.877 * CHOOSE(CONTROL!$C$10, $C$13, 100%, $E$13) + CHOOSE(CONTROL!$C$29, 0.0272, 0)</f>
        <v>58.904200000000003</v>
      </c>
      <c r="D881" s="4">
        <f>73.4971 * CHOOSE(CONTROL!$C$10, $C$13, 100%, $E$13) + CHOOSE(CONTROL!$C$29, 0.0021, 0)</f>
        <v>73.499200000000002</v>
      </c>
      <c r="E881" s="4">
        <f>382.894647665434 * CHOOSE(CONTROL!$C$10, $C$13, 100%, $E$13) + CHOOSE(CONTROL!$C$29, 0.0021, 0)</f>
        <v>382.89674766543396</v>
      </c>
    </row>
    <row r="882" spans="1:5" ht="15">
      <c r="A882" s="13">
        <v>67996</v>
      </c>
      <c r="B882" s="4">
        <f>60.6285 * CHOOSE(CONTROL!$C$10, $C$13, 100%, $E$13) + CHOOSE(CONTROL!$C$29, 0.0272, 0)</f>
        <v>60.655700000000003</v>
      </c>
      <c r="C882" s="4">
        <f>60.2653 * CHOOSE(CONTROL!$C$10, $C$13, 100%, $E$13) + CHOOSE(CONTROL!$C$29, 0.0272, 0)</f>
        <v>60.292500000000004</v>
      </c>
      <c r="D882" s="4">
        <f>76.0257 * CHOOSE(CONTROL!$C$10, $C$13, 100%, $E$13) + CHOOSE(CONTROL!$C$29, 0.0021, 0)</f>
        <v>76.027799999999999</v>
      </c>
      <c r="E882" s="4">
        <f>391.986075554143 * CHOOSE(CONTROL!$C$10, $C$13, 100%, $E$13) + CHOOSE(CONTROL!$C$29, 0.0021, 0)</f>
        <v>391.98817555414297</v>
      </c>
    </row>
    <row r="883" spans="1:5" ht="15">
      <c r="A883" s="13">
        <v>68027</v>
      </c>
      <c r="B883" s="4">
        <f>64.2741 * CHOOSE(CONTROL!$C$10, $C$13, 100%, $E$13) + CHOOSE(CONTROL!$C$29, 0.0272, 0)</f>
        <v>64.301299999999998</v>
      </c>
      <c r="C883" s="4">
        <f>63.9108 * CHOOSE(CONTROL!$C$10, $C$13, 100%, $E$13) + CHOOSE(CONTROL!$C$29, 0.0272, 0)</f>
        <v>63.938000000000002</v>
      </c>
      <c r="D883" s="4">
        <f>79.9841 * CHOOSE(CONTROL!$C$10, $C$13, 100%, $E$13) + CHOOSE(CONTROL!$C$29, 0.0021, 0)</f>
        <v>79.986199999999997</v>
      </c>
      <c r="E883" s="4">
        <f>415.860648337713 * CHOOSE(CONTROL!$C$10, $C$13, 100%, $E$13) + CHOOSE(CONTROL!$C$29, 0.0021, 0)</f>
        <v>415.86274833771296</v>
      </c>
    </row>
    <row r="884" spans="1:5" ht="15">
      <c r="A884" s="13">
        <v>68057</v>
      </c>
      <c r="B884" s="4">
        <f>66.8643 * CHOOSE(CONTROL!$C$10, $C$13, 100%, $E$13) + CHOOSE(CONTROL!$C$29, 0.0272, 0)</f>
        <v>66.891499999999994</v>
      </c>
      <c r="C884" s="4">
        <f>66.5011 * CHOOSE(CONTROL!$C$10, $C$13, 100%, $E$13) + CHOOSE(CONTROL!$C$29, 0.0272, 0)</f>
        <v>66.528299999999987</v>
      </c>
      <c r="D884" s="4">
        <f>82.2643 * CHOOSE(CONTROL!$C$10, $C$13, 100%, $E$13) + CHOOSE(CONTROL!$C$29, 0.0021, 0)</f>
        <v>82.266400000000004</v>
      </c>
      <c r="E884" s="4">
        <f>432.823850470956 * CHOOSE(CONTROL!$C$10, $C$13, 100%, $E$13) + CHOOSE(CONTROL!$C$29, 0.0021, 0)</f>
        <v>432.825950470956</v>
      </c>
    </row>
    <row r="885" spans="1:5" ht="15">
      <c r="A885" s="13">
        <v>68088</v>
      </c>
      <c r="B885" s="4">
        <f>68.4469 * CHOOSE(CONTROL!$C$10, $C$13, 100%, $E$13) + CHOOSE(CONTROL!$C$29, 0.0272, 0)</f>
        <v>68.474099999999993</v>
      </c>
      <c r="C885" s="4">
        <f>68.0836 * CHOOSE(CONTROL!$C$10, $C$13, 100%, $E$13) + CHOOSE(CONTROL!$C$29, 0.0272, 0)</f>
        <v>68.110799999999998</v>
      </c>
      <c r="D885" s="4">
        <f>81.3633 * CHOOSE(CONTROL!$C$10, $C$13, 100%, $E$13) + CHOOSE(CONTROL!$C$29, 0.0021, 0)</f>
        <v>81.365399999999994</v>
      </c>
      <c r="E885" s="4">
        <f>443.187960423153 * CHOOSE(CONTROL!$C$10, $C$13, 100%, $E$13) + CHOOSE(CONTROL!$C$29, 0.0021, 0)</f>
        <v>443.190060423153</v>
      </c>
    </row>
    <row r="886" spans="1:5" ht="15">
      <c r="A886" s="13">
        <v>68118</v>
      </c>
      <c r="B886" s="4">
        <f>68.661 * CHOOSE(CONTROL!$C$10, $C$13, 100%, $E$13) + CHOOSE(CONTROL!$C$29, 0.0272, 0)</f>
        <v>68.688199999999995</v>
      </c>
      <c r="C886" s="4">
        <f>68.2978 * CHOOSE(CONTROL!$C$10, $C$13, 100%, $E$13) + CHOOSE(CONTROL!$C$29, 0.0272, 0)</f>
        <v>68.324999999999989</v>
      </c>
      <c r="D886" s="4">
        <f>82.0971 * CHOOSE(CONTROL!$C$10, $C$13, 100%, $E$13) + CHOOSE(CONTROL!$C$29, 0.0021, 0)</f>
        <v>82.099199999999996</v>
      </c>
      <c r="E886" s="4">
        <f>444.590267511625 * CHOOSE(CONTROL!$C$10, $C$13, 100%, $E$13) + CHOOSE(CONTROL!$C$29, 0.0021, 0)</f>
        <v>444.59236751162496</v>
      </c>
    </row>
    <row r="887" spans="1:5" ht="15">
      <c r="A887" s="13">
        <v>68149</v>
      </c>
      <c r="B887" s="4">
        <f>68.6394 * CHOOSE(CONTROL!$C$10, $C$13, 100%, $E$13) + CHOOSE(CONTROL!$C$29, 0.0272, 0)</f>
        <v>68.666599999999988</v>
      </c>
      <c r="C887" s="4">
        <f>68.2762 * CHOOSE(CONTROL!$C$10, $C$13, 100%, $E$13) + CHOOSE(CONTROL!$C$29, 0.0272, 0)</f>
        <v>68.303399999999996</v>
      </c>
      <c r="D887" s="4">
        <f>83.4211 * CHOOSE(CONTROL!$C$10, $C$13, 100%, $E$13) + CHOOSE(CONTROL!$C$29, 0.0021, 0)</f>
        <v>83.423199999999994</v>
      </c>
      <c r="E887" s="4">
        <f>444.44885839346 * CHOOSE(CONTROL!$C$10, $C$13, 100%, $E$13) + CHOOSE(CONTROL!$C$29, 0.0021, 0)</f>
        <v>444.45095839345998</v>
      </c>
    </row>
    <row r="888" spans="1:5" ht="15">
      <c r="A888" s="13">
        <v>68180</v>
      </c>
      <c r="B888" s="4">
        <f>70.2643 * CHOOSE(CONTROL!$C$10, $C$13, 100%, $E$13) + CHOOSE(CONTROL!$C$29, 0.0272, 0)</f>
        <v>70.291499999999999</v>
      </c>
      <c r="C888" s="4">
        <f>69.901 * CHOOSE(CONTROL!$C$10, $C$13, 100%, $E$13) + CHOOSE(CONTROL!$C$29, 0.0272, 0)</f>
        <v>69.92819999999999</v>
      </c>
      <c r="D888" s="4">
        <f>82.5467 * CHOOSE(CONTROL!$C$10, $C$13, 100%, $E$13) + CHOOSE(CONTROL!$C$29, 0.0021, 0)</f>
        <v>82.5488</v>
      </c>
      <c r="E888" s="4">
        <f>455.089894535397 * CHOOSE(CONTROL!$C$10, $C$13, 100%, $E$13) + CHOOSE(CONTROL!$C$29, 0.0021, 0)</f>
        <v>455.09199453539696</v>
      </c>
    </row>
    <row r="889" spans="1:5" ht="15">
      <c r="A889" s="13">
        <v>68210</v>
      </c>
      <c r="B889" s="4">
        <f>67.495 * CHOOSE(CONTROL!$C$10, $C$13, 100%, $E$13) + CHOOSE(CONTROL!$C$29, 0.0272, 0)</f>
        <v>67.522199999999998</v>
      </c>
      <c r="C889" s="4">
        <f>67.1318 * CHOOSE(CONTROL!$C$10, $C$13, 100%, $E$13) + CHOOSE(CONTROL!$C$29, 0.0272, 0)</f>
        <v>67.158999999999992</v>
      </c>
      <c r="D889" s="4">
        <f>82.1336 * CHOOSE(CONTROL!$C$10, $C$13, 100%, $E$13) + CHOOSE(CONTROL!$C$29, 0.0021, 0)</f>
        <v>82.1357</v>
      </c>
      <c r="E889" s="4">
        <f>436.9541751307 * CHOOSE(CONTROL!$C$10, $C$13, 100%, $E$13) + CHOOSE(CONTROL!$C$29, 0.0021, 0)</f>
        <v>436.95627513069996</v>
      </c>
    </row>
    <row r="890" spans="1:5" ht="15">
      <c r="A890" s="13">
        <v>68241</v>
      </c>
      <c r="B890" s="4">
        <f>65.2782 * CHOOSE(CONTROL!$C$10, $C$13, 100%, $E$13) + CHOOSE(CONTROL!$C$29, 0.0272, 0)</f>
        <v>65.305399999999992</v>
      </c>
      <c r="C890" s="4">
        <f>64.9149 * CHOOSE(CONTROL!$C$10, $C$13, 100%, $E$13) + CHOOSE(CONTROL!$C$29, 0.0272, 0)</f>
        <v>64.942099999999996</v>
      </c>
      <c r="D890" s="4">
        <f>81.0274 * CHOOSE(CONTROL!$C$10, $C$13, 100%, $E$13) + CHOOSE(CONTROL!$C$29, 0.0021, 0)</f>
        <v>81.029499999999999</v>
      </c>
      <c r="E890" s="4">
        <f>422.436172332399 * CHOOSE(CONTROL!$C$10, $C$13, 100%, $E$13) + CHOOSE(CONTROL!$C$29, 0.0021, 0)</f>
        <v>422.43827233239898</v>
      </c>
    </row>
    <row r="891" spans="1:5" ht="15">
      <c r="A891" s="13">
        <v>68271</v>
      </c>
      <c r="B891" s="4">
        <f>63.8504 * CHOOSE(CONTROL!$C$10, $C$13, 100%, $E$13) + CHOOSE(CONTROL!$C$29, 0.0272, 0)</f>
        <v>63.877600000000001</v>
      </c>
      <c r="C891" s="4">
        <f>63.4871 * CHOOSE(CONTROL!$C$10, $C$13, 100%, $E$13) + CHOOSE(CONTROL!$C$29, 0.0272, 0)</f>
        <v>63.514299999999999</v>
      </c>
      <c r="D891" s="4">
        <f>80.6471 * CHOOSE(CONTROL!$C$10, $C$13, 100%, $E$13) + CHOOSE(CONTROL!$C$29, 0.0021, 0)</f>
        <v>80.649199999999993</v>
      </c>
      <c r="E891" s="4">
        <f>413.08549439372 * CHOOSE(CONTROL!$C$10, $C$13, 100%, $E$13) + CHOOSE(CONTROL!$C$29, 0.0021, 0)</f>
        <v>413.08759439372</v>
      </c>
    </row>
    <row r="892" spans="1:5" ht="15">
      <c r="A892" s="13">
        <v>68302</v>
      </c>
      <c r="B892" s="4">
        <f>62.8625 * CHOOSE(CONTROL!$C$10, $C$13, 100%, $E$13) + CHOOSE(CONTROL!$C$29, 0.0272, 0)</f>
        <v>62.889699999999998</v>
      </c>
      <c r="C892" s="4">
        <f>62.4992 * CHOOSE(CONTROL!$C$10, $C$13, 100%, $E$13) + CHOOSE(CONTROL!$C$29, 0.0272, 0)</f>
        <v>62.526400000000002</v>
      </c>
      <c r="D892" s="4">
        <f>77.8472 * CHOOSE(CONTROL!$C$10, $C$13, 100%, $E$13) + CHOOSE(CONTROL!$C$29, 0.0021, 0)</f>
        <v>77.849299999999999</v>
      </c>
      <c r="E892" s="4">
        <f>406.616027237659 * CHOOSE(CONTROL!$C$10, $C$13, 100%, $E$13) + CHOOSE(CONTROL!$C$29, 0.0021, 0)</f>
        <v>406.618127237659</v>
      </c>
    </row>
    <row r="893" spans="1:5" ht="15">
      <c r="A893" s="13">
        <v>68333</v>
      </c>
      <c r="B893" s="4">
        <f>60.2733 * CHOOSE(CONTROL!$C$10, $C$13, 100%, $E$13) + CHOOSE(CONTROL!$C$29, 0.0272, 0)</f>
        <v>60.3005</v>
      </c>
      <c r="C893" s="4">
        <f>59.91 * CHOOSE(CONTROL!$C$10, $C$13, 100%, $E$13) + CHOOSE(CONTROL!$C$29, 0.0272, 0)</f>
        <v>59.937199999999997</v>
      </c>
      <c r="D893" s="4">
        <f>74.6237 * CHOOSE(CONTROL!$C$10, $C$13, 100%, $E$13) + CHOOSE(CONTROL!$C$29, 0.0021, 0)</f>
        <v>74.625799999999998</v>
      </c>
      <c r="E893" s="4">
        <f>389.67881745553 * CHOOSE(CONTROL!$C$10, $C$13, 100%, $E$13) + CHOOSE(CONTROL!$C$29, 0.0021, 0)</f>
        <v>389.68091745552999</v>
      </c>
    </row>
    <row r="894" spans="1:5" ht="15">
      <c r="A894" s="13">
        <v>68361</v>
      </c>
      <c r="B894" s="4">
        <f>61.6861 * CHOOSE(CONTROL!$C$10, $C$13, 100%, $E$13) + CHOOSE(CONTROL!$C$29, 0.0272, 0)</f>
        <v>61.713300000000004</v>
      </c>
      <c r="C894" s="4">
        <f>61.3228 * CHOOSE(CONTROL!$C$10, $C$13, 100%, $E$13) + CHOOSE(CONTROL!$C$29, 0.0272, 0)</f>
        <v>61.35</v>
      </c>
      <c r="D894" s="4">
        <f>77.1921 * CHOOSE(CONTROL!$C$10, $C$13, 100%, $E$13) + CHOOSE(CONTROL!$C$29, 0.0021, 0)</f>
        <v>77.194199999999995</v>
      </c>
      <c r="E894" s="4">
        <f>398.931328270855 * CHOOSE(CONTROL!$C$10, $C$13, 100%, $E$13) + CHOOSE(CONTROL!$C$29, 0.0021, 0)</f>
        <v>398.93342827085496</v>
      </c>
    </row>
    <row r="895" spans="1:5" ht="15">
      <c r="A895" s="13">
        <v>68392</v>
      </c>
      <c r="B895" s="4">
        <f>65.3961 * CHOOSE(CONTROL!$C$10, $C$13, 100%, $E$13) + CHOOSE(CONTROL!$C$29, 0.0272, 0)</f>
        <v>65.423299999999998</v>
      </c>
      <c r="C895" s="4">
        <f>65.0328 * CHOOSE(CONTROL!$C$10, $C$13, 100%, $E$13) + CHOOSE(CONTROL!$C$29, 0.0272, 0)</f>
        <v>65.059999999999988</v>
      </c>
      <c r="D895" s="4">
        <f>81.2128 * CHOOSE(CONTROL!$C$10, $C$13, 100%, $E$13) + CHOOSE(CONTROL!$C$29, 0.0021, 0)</f>
        <v>81.2149</v>
      </c>
      <c r="E895" s="4">
        <f>423.228913380184 * CHOOSE(CONTROL!$C$10, $C$13, 100%, $E$13) + CHOOSE(CONTROL!$C$29, 0.0021, 0)</f>
        <v>423.23101338018398</v>
      </c>
    </row>
    <row r="896" spans="1:5" ht="15">
      <c r="A896" s="13">
        <v>68422</v>
      </c>
      <c r="B896" s="4">
        <f>68.0321 * CHOOSE(CONTROL!$C$10, $C$13, 100%, $E$13) + CHOOSE(CONTROL!$C$29, 0.0272, 0)</f>
        <v>68.059299999999993</v>
      </c>
      <c r="C896" s="4">
        <f>67.6688 * CHOOSE(CONTROL!$C$10, $C$13, 100%, $E$13) + CHOOSE(CONTROL!$C$29, 0.0272, 0)</f>
        <v>67.695999999999998</v>
      </c>
      <c r="D896" s="4">
        <f>83.5288 * CHOOSE(CONTROL!$C$10, $C$13, 100%, $E$13) + CHOOSE(CONTROL!$C$29, 0.0021, 0)</f>
        <v>83.530900000000003</v>
      </c>
      <c r="E896" s="4">
        <f>440.49267140826 * CHOOSE(CONTROL!$C$10, $C$13, 100%, $E$13) + CHOOSE(CONTROL!$C$29, 0.0021, 0)</f>
        <v>440.49477140825996</v>
      </c>
    </row>
    <row r="897" spans="1:5" ht="15">
      <c r="A897" s="13">
        <v>68453</v>
      </c>
      <c r="B897" s="4">
        <f>69.6426 * CHOOSE(CONTROL!$C$10, $C$13, 100%, $E$13) + CHOOSE(CONTROL!$C$29, 0.0272, 0)</f>
        <v>69.669799999999995</v>
      </c>
      <c r="C897" s="4">
        <f>69.2793 * CHOOSE(CONTROL!$C$10, $C$13, 100%, $E$13) + CHOOSE(CONTROL!$C$29, 0.0272, 0)</f>
        <v>69.3065</v>
      </c>
      <c r="D897" s="4">
        <f>82.6136 * CHOOSE(CONTROL!$C$10, $C$13, 100%, $E$13) + CHOOSE(CONTROL!$C$29, 0.0021, 0)</f>
        <v>82.615700000000004</v>
      </c>
      <c r="E897" s="4">
        <f>451.04041380888 * CHOOSE(CONTROL!$C$10, $C$13, 100%, $E$13) + CHOOSE(CONTROL!$C$29, 0.0021, 0)</f>
        <v>451.04251380887996</v>
      </c>
    </row>
    <row r="898" spans="1:5" ht="15">
      <c r="A898" s="13">
        <v>68483</v>
      </c>
      <c r="B898" s="4">
        <f>69.8605 * CHOOSE(CONTROL!$C$10, $C$13, 100%, $E$13) + CHOOSE(CONTROL!$C$29, 0.0272, 0)</f>
        <v>69.887699999999995</v>
      </c>
      <c r="C898" s="4">
        <f>69.4972 * CHOOSE(CONTROL!$C$10, $C$13, 100%, $E$13) + CHOOSE(CONTROL!$C$29, 0.0272, 0)</f>
        <v>69.5244</v>
      </c>
      <c r="D898" s="4">
        <f>83.3589 * CHOOSE(CONTROL!$C$10, $C$13, 100%, $E$13) + CHOOSE(CONTROL!$C$29, 0.0021, 0)</f>
        <v>83.361000000000004</v>
      </c>
      <c r="E898" s="4">
        <f>452.467567129714 * CHOOSE(CONTROL!$C$10, $C$13, 100%, $E$13) + CHOOSE(CONTROL!$C$29, 0.0021, 0)</f>
        <v>452.46966712971397</v>
      </c>
    </row>
    <row r="899" spans="1:5" ht="15">
      <c r="A899" s="13">
        <v>68514</v>
      </c>
      <c r="B899" s="4">
        <f>69.8385 * CHOOSE(CONTROL!$C$10, $C$13, 100%, $E$13) + CHOOSE(CONTROL!$C$29, 0.0272, 0)</f>
        <v>69.86569999999999</v>
      </c>
      <c r="C899" s="4">
        <f>69.4752 * CHOOSE(CONTROL!$C$10, $C$13, 100%, $E$13) + CHOOSE(CONTROL!$C$29, 0.0272, 0)</f>
        <v>69.502399999999994</v>
      </c>
      <c r="D899" s="4">
        <f>84.7038 * CHOOSE(CONTROL!$C$10, $C$13, 100%, $E$13) + CHOOSE(CONTROL!$C$29, 0.0021, 0)</f>
        <v>84.7059</v>
      </c>
      <c r="E899" s="4">
        <f>452.323652509126 * CHOOSE(CONTROL!$C$10, $C$13, 100%, $E$13) + CHOOSE(CONTROL!$C$29, 0.0021, 0)</f>
        <v>452.325752509126</v>
      </c>
    </row>
    <row r="900" spans="1:5" ht="15">
      <c r="A900" s="13">
        <v>68545</v>
      </c>
      <c r="B900" s="4">
        <f>71.4921 * CHOOSE(CONTROL!$C$10, $C$13, 100%, $E$13) + CHOOSE(CONTROL!$C$29, 0.0272, 0)</f>
        <v>71.519299999999987</v>
      </c>
      <c r="C900" s="4">
        <f>71.1288 * CHOOSE(CONTROL!$C$10, $C$13, 100%, $E$13) + CHOOSE(CONTROL!$C$29, 0.0272, 0)</f>
        <v>71.155999999999992</v>
      </c>
      <c r="D900" s="4">
        <f>83.8157 * CHOOSE(CONTROL!$C$10, $C$13, 100%, $E$13) + CHOOSE(CONTROL!$C$29, 0.0021, 0)</f>
        <v>83.817800000000005</v>
      </c>
      <c r="E900" s="4">
        <f>463.153227708397 * CHOOSE(CONTROL!$C$10, $C$13, 100%, $E$13) + CHOOSE(CONTROL!$C$29, 0.0021, 0)</f>
        <v>463.15532770839701</v>
      </c>
    </row>
    <row r="901" spans="1:5" ht="15">
      <c r="A901" s="13">
        <v>68575</v>
      </c>
      <c r="B901" s="4">
        <f>68.6739 * CHOOSE(CONTROL!$C$10, $C$13, 100%, $E$13) + CHOOSE(CONTROL!$C$29, 0.0272, 0)</f>
        <v>68.701099999999997</v>
      </c>
      <c r="C901" s="4">
        <f>68.3106 * CHOOSE(CONTROL!$C$10, $C$13, 100%, $E$13) + CHOOSE(CONTROL!$C$29, 0.0272, 0)</f>
        <v>68.337799999999987</v>
      </c>
      <c r="D901" s="4">
        <f>83.396 * CHOOSE(CONTROL!$C$10, $C$13, 100%, $E$13) + CHOOSE(CONTROL!$C$29, 0.0021, 0)</f>
        <v>83.398099999999999</v>
      </c>
      <c r="E901" s="4">
        <f>444.696177617944 * CHOOSE(CONTROL!$C$10, $C$13, 100%, $E$13) + CHOOSE(CONTROL!$C$29, 0.0021, 0)</f>
        <v>444.69827761794397</v>
      </c>
    </row>
    <row r="902" spans="1:5" ht="15">
      <c r="A902" s="13">
        <v>68606</v>
      </c>
      <c r="B902" s="4">
        <f>66.4179 * CHOOSE(CONTROL!$C$10, $C$13, 100%, $E$13) + CHOOSE(CONTROL!$C$29, 0.0272, 0)</f>
        <v>66.445099999999996</v>
      </c>
      <c r="C902" s="4">
        <f>66.0546 * CHOOSE(CONTROL!$C$10, $C$13, 100%, $E$13) + CHOOSE(CONTROL!$C$29, 0.0272, 0)</f>
        <v>66.081799999999987</v>
      </c>
      <c r="D902" s="4">
        <f>82.2724 * CHOOSE(CONTROL!$C$10, $C$13, 100%, $E$13) + CHOOSE(CONTROL!$C$29, 0.0021, 0)</f>
        <v>82.274500000000003</v>
      </c>
      <c r="E902" s="4">
        <f>429.920943237542 * CHOOSE(CONTROL!$C$10, $C$13, 100%, $E$13) + CHOOSE(CONTROL!$C$29, 0.0021, 0)</f>
        <v>429.923043237542</v>
      </c>
    </row>
    <row r="903" spans="1:5" ht="15">
      <c r="A903" s="13">
        <v>68636</v>
      </c>
      <c r="B903" s="4">
        <f>64.9648 * CHOOSE(CONTROL!$C$10, $C$13, 100%, $E$13) + CHOOSE(CONTROL!$C$29, 0.0272, 0)</f>
        <v>64.99199999999999</v>
      </c>
      <c r="C903" s="4">
        <f>64.6015 * CHOOSE(CONTROL!$C$10, $C$13, 100%, $E$13) + CHOOSE(CONTROL!$C$29, 0.0272, 0)</f>
        <v>64.628699999999995</v>
      </c>
      <c r="D903" s="4">
        <f>81.8861 * CHOOSE(CONTROL!$C$10, $C$13, 100%, $E$13) + CHOOSE(CONTROL!$C$29, 0.0021, 0)</f>
        <v>81.888199999999998</v>
      </c>
      <c r="E903" s="4">
        <f>420.404588951138 * CHOOSE(CONTROL!$C$10, $C$13, 100%, $E$13) + CHOOSE(CONTROL!$C$29, 0.0021, 0)</f>
        <v>420.40668895113799</v>
      </c>
    </row>
    <row r="904" spans="1:5" ht="15">
      <c r="A904" s="13">
        <v>68667</v>
      </c>
      <c r="B904" s="4">
        <f>63.9595 * CHOOSE(CONTROL!$C$10, $C$13, 100%, $E$13) + CHOOSE(CONTROL!$C$29, 0.0272, 0)</f>
        <v>63.986699999999999</v>
      </c>
      <c r="C904" s="4">
        <f>63.5962 * CHOOSE(CONTROL!$C$10, $C$13, 100%, $E$13) + CHOOSE(CONTROL!$C$29, 0.0272, 0)</f>
        <v>63.623400000000004</v>
      </c>
      <c r="D904" s="4">
        <f>79.0422 * CHOOSE(CONTROL!$C$10, $C$13, 100%, $E$13) + CHOOSE(CONTROL!$C$29, 0.0021, 0)</f>
        <v>79.044299999999993</v>
      </c>
      <c r="E904" s="4">
        <f>413.820495059222 * CHOOSE(CONTROL!$C$10, $C$13, 100%, $E$13) + CHOOSE(CONTROL!$C$29, 0.0021, 0)</f>
        <v>413.82259505922201</v>
      </c>
    </row>
    <row r="905" spans="1:5" ht="15">
      <c r="A905" s="13">
        <v>68698</v>
      </c>
      <c r="B905" s="4">
        <f>61.3246 * CHOOSE(CONTROL!$C$10, $C$13, 100%, $E$13) + CHOOSE(CONTROL!$C$29, 0.0272, 0)</f>
        <v>61.351799999999997</v>
      </c>
      <c r="C905" s="4">
        <f>60.9613 * CHOOSE(CONTROL!$C$10, $C$13, 100%, $E$13) + CHOOSE(CONTROL!$C$29, 0.0272, 0)</f>
        <v>60.988500000000002</v>
      </c>
      <c r="D905" s="4">
        <f>75.768 * CHOOSE(CONTROL!$C$10, $C$13, 100%, $E$13) + CHOOSE(CONTROL!$C$29, 0.0021, 0)</f>
        <v>75.770099999999999</v>
      </c>
      <c r="E905" s="4">
        <f>396.583189917618 * CHOOSE(CONTROL!$C$10, $C$13, 100%, $E$13) + CHOOSE(CONTROL!$C$29, 0.0021, 0)</f>
        <v>396.58528991761796</v>
      </c>
    </row>
    <row r="906" spans="1:5" ht="15">
      <c r="A906" s="13">
        <v>68727</v>
      </c>
      <c r="B906" s="4">
        <f>62.7623 * CHOOSE(CONTROL!$C$10, $C$13, 100%, $E$13) + CHOOSE(CONTROL!$C$29, 0.0272, 0)</f>
        <v>62.789500000000004</v>
      </c>
      <c r="C906" s="4">
        <f>62.399 * CHOOSE(CONTROL!$C$10, $C$13, 100%, $E$13) + CHOOSE(CONTROL!$C$29, 0.0272, 0)</f>
        <v>62.426200000000001</v>
      </c>
      <c r="D906" s="4">
        <f>78.3768 * CHOOSE(CONTROL!$C$10, $C$13, 100%, $E$13) + CHOOSE(CONTROL!$C$29, 0.0021, 0)</f>
        <v>78.378900000000002</v>
      </c>
      <c r="E906" s="4">
        <f>405.9996377447 * CHOOSE(CONTROL!$C$10, $C$13, 100%, $E$13) + CHOOSE(CONTROL!$C$29, 0.0021, 0)</f>
        <v>406.00173774469999</v>
      </c>
    </row>
    <row r="907" spans="1:5" ht="15">
      <c r="A907" s="13">
        <v>68758</v>
      </c>
      <c r="B907" s="4">
        <f>66.5378 * CHOOSE(CONTROL!$C$10, $C$13, 100%, $E$13) + CHOOSE(CONTROL!$C$29, 0.0272, 0)</f>
        <v>66.564999999999998</v>
      </c>
      <c r="C907" s="4">
        <f>66.1746 * CHOOSE(CONTROL!$C$10, $C$13, 100%, $E$13) + CHOOSE(CONTROL!$C$29, 0.0272, 0)</f>
        <v>66.201799999999992</v>
      </c>
      <c r="D907" s="4">
        <f>82.4607 * CHOOSE(CONTROL!$C$10, $C$13, 100%, $E$13) + CHOOSE(CONTROL!$C$29, 0.0021, 0)</f>
        <v>82.462800000000001</v>
      </c>
      <c r="E907" s="4">
        <f>430.727730159044 * CHOOSE(CONTROL!$C$10, $C$13, 100%, $E$13) + CHOOSE(CONTROL!$C$29, 0.0021, 0)</f>
        <v>430.72983015904396</v>
      </c>
    </row>
    <row r="908" spans="1:5" ht="15">
      <c r="A908" s="13">
        <v>68788</v>
      </c>
      <c r="B908" s="4">
        <f>69.2204 * CHOOSE(CONTROL!$C$10, $C$13, 100%, $E$13) + CHOOSE(CONTROL!$C$29, 0.0272, 0)</f>
        <v>69.247599999999991</v>
      </c>
      <c r="C908" s="4">
        <f>68.8571 * CHOOSE(CONTROL!$C$10, $C$13, 100%, $E$13) + CHOOSE(CONTROL!$C$29, 0.0272, 0)</f>
        <v>68.884299999999996</v>
      </c>
      <c r="D908" s="4">
        <f>84.8132 * CHOOSE(CONTROL!$C$10, $C$13, 100%, $E$13) + CHOOSE(CONTROL!$C$29, 0.0021, 0)</f>
        <v>84.815299999999993</v>
      </c>
      <c r="E908" s="4">
        <f>448.297369364597 * CHOOSE(CONTROL!$C$10, $C$13, 100%, $E$13) + CHOOSE(CONTROL!$C$29, 0.0021, 0)</f>
        <v>448.29946936459697</v>
      </c>
    </row>
    <row r="909" spans="1:5" ht="15">
      <c r="A909" s="13">
        <v>68819</v>
      </c>
      <c r="B909" s="4">
        <f>70.8594 * CHOOSE(CONTROL!$C$10, $C$13, 100%, $E$13) + CHOOSE(CONTROL!$C$29, 0.0272, 0)</f>
        <v>70.886599999999987</v>
      </c>
      <c r="C909" s="4">
        <f>70.4961 * CHOOSE(CONTROL!$C$10, $C$13, 100%, $E$13) + CHOOSE(CONTROL!$C$29, 0.0272, 0)</f>
        <v>70.523299999999992</v>
      </c>
      <c r="D909" s="4">
        <f>83.8836 * CHOOSE(CONTROL!$C$10, $C$13, 100%, $E$13) + CHOOSE(CONTROL!$C$29, 0.0021, 0)</f>
        <v>83.8857</v>
      </c>
      <c r="E909" s="4">
        <f>459.031997833706 * CHOOSE(CONTROL!$C$10, $C$13, 100%, $E$13) + CHOOSE(CONTROL!$C$29, 0.0021, 0)</f>
        <v>459.03409783370597</v>
      </c>
    </row>
    <row r="910" spans="1:5" ht="15">
      <c r="A910" s="13">
        <v>68849</v>
      </c>
      <c r="B910" s="4">
        <f>71.0811 * CHOOSE(CONTROL!$C$10, $C$13, 100%, $E$13) + CHOOSE(CONTROL!$C$29, 0.0272, 0)</f>
        <v>71.1083</v>
      </c>
      <c r="C910" s="4">
        <f>70.7179 * CHOOSE(CONTROL!$C$10, $C$13, 100%, $E$13) + CHOOSE(CONTROL!$C$29, 0.0272, 0)</f>
        <v>70.745099999999994</v>
      </c>
      <c r="D910" s="4">
        <f>84.6406 * CHOOSE(CONTROL!$C$10, $C$13, 100%, $E$13) + CHOOSE(CONTROL!$C$29, 0.0021, 0)</f>
        <v>84.642700000000005</v>
      </c>
      <c r="E910" s="4">
        <f>460.4844376152 * CHOOSE(CONTROL!$C$10, $C$13, 100%, $E$13) + CHOOSE(CONTROL!$C$29, 0.0021, 0)</f>
        <v>460.48653761520001</v>
      </c>
    </row>
    <row r="911" spans="1:5" ht="15">
      <c r="A911" s="13">
        <v>68880</v>
      </c>
      <c r="B911" s="4">
        <f>71.0588 * CHOOSE(CONTROL!$C$10, $C$13, 100%, $E$13) + CHOOSE(CONTROL!$C$29, 0.0272, 0)</f>
        <v>71.085999999999999</v>
      </c>
      <c r="C911" s="4">
        <f>70.6955 * CHOOSE(CONTROL!$C$10, $C$13, 100%, $E$13) + CHOOSE(CONTROL!$C$29, 0.0272, 0)</f>
        <v>70.722699999999989</v>
      </c>
      <c r="D911" s="4">
        <f>86.0067 * CHOOSE(CONTROL!$C$10, $C$13, 100%, $E$13) + CHOOSE(CONTROL!$C$29, 0.0021, 0)</f>
        <v>86.008799999999994</v>
      </c>
      <c r="E911" s="4">
        <f>460.337973099419 * CHOOSE(CONTROL!$C$10, $C$13, 100%, $E$13) + CHOOSE(CONTROL!$C$29, 0.0021, 0)</f>
        <v>460.34007309941899</v>
      </c>
    </row>
    <row r="912" spans="1:5" ht="15">
      <c r="A912" s="13">
        <v>68911</v>
      </c>
      <c r="B912" s="4">
        <f>72.7416 * CHOOSE(CONTROL!$C$10, $C$13, 100%, $E$13) + CHOOSE(CONTROL!$C$29, 0.0272, 0)</f>
        <v>72.768799999999999</v>
      </c>
      <c r="C912" s="4">
        <f>72.3783 * CHOOSE(CONTROL!$C$10, $C$13, 100%, $E$13) + CHOOSE(CONTROL!$C$29, 0.0272, 0)</f>
        <v>72.405499999999989</v>
      </c>
      <c r="D912" s="4">
        <f>85.1045 * CHOOSE(CONTROL!$C$10, $C$13, 100%, $E$13) + CHOOSE(CONTROL!$C$29, 0.0021, 0)</f>
        <v>85.1066</v>
      </c>
      <c r="E912" s="4">
        <f>471.359427911933 * CHOOSE(CONTROL!$C$10, $C$13, 100%, $E$13) + CHOOSE(CONTROL!$C$29, 0.0021, 0)</f>
        <v>471.36152791193297</v>
      </c>
    </row>
    <row r="913" spans="1:5" ht="15">
      <c r="A913" s="13">
        <v>68941</v>
      </c>
      <c r="B913" s="4">
        <f>69.8736 * CHOOSE(CONTROL!$C$10, $C$13, 100%, $E$13) + CHOOSE(CONTROL!$C$29, 0.0272, 0)</f>
        <v>69.90079999999999</v>
      </c>
      <c r="C913" s="4">
        <f>69.5103 * CHOOSE(CONTROL!$C$10, $C$13, 100%, $E$13) + CHOOSE(CONTROL!$C$29, 0.0272, 0)</f>
        <v>69.537499999999994</v>
      </c>
      <c r="D913" s="4">
        <f>84.6783 * CHOOSE(CONTROL!$C$10, $C$13, 100%, $E$13) + CHOOSE(CONTROL!$C$29, 0.0021, 0)</f>
        <v>84.680399999999992</v>
      </c>
      <c r="E913" s="4">
        <f>452.575353763031 * CHOOSE(CONTROL!$C$10, $C$13, 100%, $E$13) + CHOOSE(CONTROL!$C$29, 0.0021, 0)</f>
        <v>452.57745376303097</v>
      </c>
    </row>
    <row r="914" spans="1:5" ht="15">
      <c r="A914" s="13">
        <v>68972</v>
      </c>
      <c r="B914" s="4">
        <f>67.5777 * CHOOSE(CONTROL!$C$10, $C$13, 100%, $E$13) + CHOOSE(CONTROL!$C$29, 0.0272, 0)</f>
        <v>67.604899999999986</v>
      </c>
      <c r="C914" s="4">
        <f>67.2144 * CHOOSE(CONTROL!$C$10, $C$13, 100%, $E$13) + CHOOSE(CONTROL!$C$29, 0.0272, 0)</f>
        <v>67.241599999999991</v>
      </c>
      <c r="D914" s="4">
        <f>83.537 * CHOOSE(CONTROL!$C$10, $C$13, 100%, $E$13) + CHOOSE(CONTROL!$C$29, 0.0021, 0)</f>
        <v>83.539100000000005</v>
      </c>
      <c r="E914" s="4">
        <f>437.538330142857 * CHOOSE(CONTROL!$C$10, $C$13, 100%, $E$13) + CHOOSE(CONTROL!$C$29, 0.0021, 0)</f>
        <v>437.54043014285696</v>
      </c>
    </row>
    <row r="915" spans="1:5" ht="15">
      <c r="A915" s="13">
        <v>69002</v>
      </c>
      <c r="B915" s="4">
        <f>66.099 * CHOOSE(CONTROL!$C$10, $C$13, 100%, $E$13) + CHOOSE(CONTROL!$C$29, 0.0272, 0)</f>
        <v>66.126199999999997</v>
      </c>
      <c r="C915" s="4">
        <f>65.7357 * CHOOSE(CONTROL!$C$10, $C$13, 100%, $E$13) + CHOOSE(CONTROL!$C$29, 0.0272, 0)</f>
        <v>65.762899999999988</v>
      </c>
      <c r="D915" s="4">
        <f>83.1447 * CHOOSE(CONTROL!$C$10, $C$13, 100%, $E$13) + CHOOSE(CONTROL!$C$29, 0.0021, 0)</f>
        <v>83.146799999999999</v>
      </c>
      <c r="E915" s="4">
        <f>427.853364036844 * CHOOSE(CONTROL!$C$10, $C$13, 100%, $E$13) + CHOOSE(CONTROL!$C$29, 0.0021, 0)</f>
        <v>427.85546403684401</v>
      </c>
    </row>
    <row r="916" spans="1:5" ht="15">
      <c r="A916" s="13">
        <v>69033</v>
      </c>
      <c r="B916" s="4">
        <f>65.0759 * CHOOSE(CONTROL!$C$10, $C$13, 100%, $E$13) + CHOOSE(CONTROL!$C$29, 0.0272, 0)</f>
        <v>65.103099999999998</v>
      </c>
      <c r="C916" s="4">
        <f>64.7126 * CHOOSE(CONTROL!$C$10, $C$13, 100%, $E$13) + CHOOSE(CONTROL!$C$29, 0.0272, 0)</f>
        <v>64.739799999999988</v>
      </c>
      <c r="D916" s="4">
        <f>80.2561 * CHOOSE(CONTROL!$C$10, $C$13, 100%, $E$13) + CHOOSE(CONTROL!$C$29, 0.0021, 0)</f>
        <v>80.258200000000002</v>
      </c>
      <c r="E916" s="4">
        <f>421.152612439867 * CHOOSE(CONTROL!$C$10, $C$13, 100%, $E$13) + CHOOSE(CONTROL!$C$29, 0.0021, 0)</f>
        <v>421.15471243986701</v>
      </c>
    </row>
    <row r="917" spans="1:5" ht="15">
      <c r="A917" s="13">
        <v>69064</v>
      </c>
      <c r="B917" s="4">
        <f>62.3944 * CHOOSE(CONTROL!$C$10, $C$13, 100%, $E$13) + CHOOSE(CONTROL!$C$29, 0.0272, 0)</f>
        <v>62.421599999999998</v>
      </c>
      <c r="C917" s="4">
        <f>62.0311 * CHOOSE(CONTROL!$C$10, $C$13, 100%, $E$13) + CHOOSE(CONTROL!$C$29, 0.0272, 0)</f>
        <v>62.058300000000003</v>
      </c>
      <c r="D917" s="4">
        <f>76.9304 * CHOOSE(CONTROL!$C$10, $C$13, 100%, $E$13) + CHOOSE(CONTROL!$C$29, 0.0021, 0)</f>
        <v>76.932500000000005</v>
      </c>
      <c r="E917" s="4">
        <f>403.609894815959 * CHOOSE(CONTROL!$C$10, $C$13, 100%, $E$13) + CHOOSE(CONTROL!$C$29, 0.0021, 0)</f>
        <v>403.61199481595901</v>
      </c>
    </row>
    <row r="918" spans="1:5" ht="15">
      <c r="A918" s="13">
        <v>69092</v>
      </c>
      <c r="B918" s="4">
        <f>63.8575 * CHOOSE(CONTROL!$C$10, $C$13, 100%, $E$13) + CHOOSE(CONTROL!$C$29, 0.0272, 0)</f>
        <v>63.884700000000002</v>
      </c>
      <c r="C918" s="4">
        <f>63.4943 * CHOOSE(CONTROL!$C$10, $C$13, 100%, $E$13) + CHOOSE(CONTROL!$C$29, 0.0272, 0)</f>
        <v>63.521500000000003</v>
      </c>
      <c r="D918" s="4">
        <f>79.5802 * CHOOSE(CONTROL!$C$10, $C$13, 100%, $E$13) + CHOOSE(CONTROL!$C$29, 0.0021, 0)</f>
        <v>79.582300000000004</v>
      </c>
      <c r="E918" s="4">
        <f>413.193184308934 * CHOOSE(CONTROL!$C$10, $C$13, 100%, $E$13) + CHOOSE(CONTROL!$C$29, 0.0021, 0)</f>
        <v>413.19528430893399</v>
      </c>
    </row>
    <row r="919" spans="1:5" ht="15">
      <c r="A919" s="13">
        <v>69123</v>
      </c>
      <c r="B919" s="4">
        <f>67.6998 * CHOOSE(CONTROL!$C$10, $C$13, 100%, $E$13) + CHOOSE(CONTROL!$C$29, 0.0272, 0)</f>
        <v>67.72699999999999</v>
      </c>
      <c r="C919" s="4">
        <f>67.3365 * CHOOSE(CONTROL!$C$10, $C$13, 100%, $E$13) + CHOOSE(CONTROL!$C$29, 0.0272, 0)</f>
        <v>67.363699999999994</v>
      </c>
      <c r="D919" s="4">
        <f>83.7283 * CHOOSE(CONTROL!$C$10, $C$13, 100%, $E$13) + CHOOSE(CONTROL!$C$29, 0.0021, 0)</f>
        <v>83.730400000000003</v>
      </c>
      <c r="E919" s="4">
        <f>438.359411804422 * CHOOSE(CONTROL!$C$10, $C$13, 100%, $E$13) + CHOOSE(CONTROL!$C$29, 0.0021, 0)</f>
        <v>438.36151180442198</v>
      </c>
    </row>
    <row r="920" spans="1:5" ht="15">
      <c r="A920" s="13">
        <v>69153</v>
      </c>
      <c r="B920" s="4">
        <f>70.4297 * CHOOSE(CONTROL!$C$10, $C$13, 100%, $E$13) + CHOOSE(CONTROL!$C$29, 0.0272, 0)</f>
        <v>70.45689999999999</v>
      </c>
      <c r="C920" s="4">
        <f>70.0665 * CHOOSE(CONTROL!$C$10, $C$13, 100%, $E$13) + CHOOSE(CONTROL!$C$29, 0.0272, 0)</f>
        <v>70.093699999999998</v>
      </c>
      <c r="D920" s="4">
        <f>86.1177 * CHOOSE(CONTROL!$C$10, $C$13, 100%, $E$13) + CHOOSE(CONTROL!$C$29, 0.0021, 0)</f>
        <v>86.119799999999998</v>
      </c>
      <c r="E920" s="4">
        <f>456.240351824044 * CHOOSE(CONTROL!$C$10, $C$13, 100%, $E$13) + CHOOSE(CONTROL!$C$29, 0.0021, 0)</f>
        <v>456.242451824044</v>
      </c>
    </row>
    <row r="921" spans="1:5" ht="15">
      <c r="A921" s="13">
        <v>69184</v>
      </c>
      <c r="B921" s="4">
        <f>72.0977 * CHOOSE(CONTROL!$C$10, $C$13, 100%, $E$13) + CHOOSE(CONTROL!$C$29, 0.0272, 0)</f>
        <v>72.124899999999997</v>
      </c>
      <c r="C921" s="4">
        <f>71.7344 * CHOOSE(CONTROL!$C$10, $C$13, 100%, $E$13) + CHOOSE(CONTROL!$C$29, 0.0272, 0)</f>
        <v>71.761599999999987</v>
      </c>
      <c r="D921" s="4">
        <f>85.1735 * CHOOSE(CONTROL!$C$10, $C$13, 100%, $E$13) + CHOOSE(CONTROL!$C$29, 0.0021, 0)</f>
        <v>85.175600000000003</v>
      </c>
      <c r="E921" s="4">
        <f>467.165177629711 * CHOOSE(CONTROL!$C$10, $C$13, 100%, $E$13) + CHOOSE(CONTROL!$C$29, 0.0021, 0)</f>
        <v>467.16727762971101</v>
      </c>
    </row>
    <row r="922" spans="1:5" ht="15">
      <c r="A922" s="13">
        <v>69214</v>
      </c>
      <c r="B922" s="4">
        <f>72.3234 * CHOOSE(CONTROL!$C$10, $C$13, 100%, $E$13) + CHOOSE(CONTROL!$C$29, 0.0272, 0)</f>
        <v>72.3506</v>
      </c>
      <c r="C922" s="4">
        <f>71.9601 * CHOOSE(CONTROL!$C$10, $C$13, 100%, $E$13) + CHOOSE(CONTROL!$C$29, 0.0272, 0)</f>
        <v>71.987299999999991</v>
      </c>
      <c r="D922" s="4">
        <f>85.9425 * CHOOSE(CONTROL!$C$10, $C$13, 100%, $E$13) + CHOOSE(CONTROL!$C$29, 0.0021, 0)</f>
        <v>85.944599999999994</v>
      </c>
      <c r="E922" s="4">
        <f>468.643351900176 * CHOOSE(CONTROL!$C$10, $C$13, 100%, $E$13) + CHOOSE(CONTROL!$C$29, 0.0021, 0)</f>
        <v>468.645451900176</v>
      </c>
    </row>
    <row r="923" spans="1:5" ht="15">
      <c r="A923" s="13">
        <v>69245</v>
      </c>
      <c r="B923" s="4">
        <f>72.3006 * CHOOSE(CONTROL!$C$10, $C$13, 100%, $E$13) + CHOOSE(CONTROL!$C$29, 0.0272, 0)</f>
        <v>72.327799999999996</v>
      </c>
      <c r="C923" s="4">
        <f>71.9373 * CHOOSE(CONTROL!$C$10, $C$13, 100%, $E$13) + CHOOSE(CONTROL!$C$29, 0.0272, 0)</f>
        <v>71.964499999999987</v>
      </c>
      <c r="D923" s="4">
        <f>87.33 * CHOOSE(CONTROL!$C$10, $C$13, 100%, $E$13) + CHOOSE(CONTROL!$C$29, 0.0021, 0)</f>
        <v>87.332099999999997</v>
      </c>
      <c r="E923" s="4">
        <f>468.494292309877 * CHOOSE(CONTROL!$C$10, $C$13, 100%, $E$13) + CHOOSE(CONTROL!$C$29, 0.0021, 0)</f>
        <v>468.49639230987697</v>
      </c>
    </row>
    <row r="924" spans="1:5" ht="15">
      <c r="A924" s="13">
        <v>69276</v>
      </c>
      <c r="B924" s="4">
        <f>74.0131 * CHOOSE(CONTROL!$C$10, $C$13, 100%, $E$13) + CHOOSE(CONTROL!$C$29, 0.0272, 0)</f>
        <v>74.040299999999988</v>
      </c>
      <c r="C924" s="4">
        <f>73.6498 * CHOOSE(CONTROL!$C$10, $C$13, 100%, $E$13) + CHOOSE(CONTROL!$C$29, 0.0272, 0)</f>
        <v>73.676999999999992</v>
      </c>
      <c r="D924" s="4">
        <f>86.4137 * CHOOSE(CONTROL!$C$10, $C$13, 100%, $E$13) + CHOOSE(CONTROL!$C$29, 0.0021, 0)</f>
        <v>86.415800000000004</v>
      </c>
      <c r="E924" s="4">
        <f>479.71102647988 * CHOOSE(CONTROL!$C$10, $C$13, 100%, $E$13) + CHOOSE(CONTROL!$C$29, 0.0021, 0)</f>
        <v>479.71312647987997</v>
      </c>
    </row>
    <row r="925" spans="1:5" ht="15">
      <c r="A925" s="13">
        <v>69306</v>
      </c>
      <c r="B925" s="4">
        <f>71.0945 * CHOOSE(CONTROL!$C$10, $C$13, 100%, $E$13) + CHOOSE(CONTROL!$C$29, 0.0272, 0)</f>
        <v>71.12169999999999</v>
      </c>
      <c r="C925" s="4">
        <f>70.7312 * CHOOSE(CONTROL!$C$10, $C$13, 100%, $E$13) + CHOOSE(CONTROL!$C$29, 0.0272, 0)</f>
        <v>70.758399999999995</v>
      </c>
      <c r="D925" s="4">
        <f>85.9807 * CHOOSE(CONTROL!$C$10, $C$13, 100%, $E$13) + CHOOSE(CONTROL!$C$29, 0.0021, 0)</f>
        <v>85.982799999999997</v>
      </c>
      <c r="E925" s="4">
        <f>460.594134024029 * CHOOSE(CONTROL!$C$10, $C$13, 100%, $E$13) + CHOOSE(CONTROL!$C$29, 0.0021, 0)</f>
        <v>460.596234024029</v>
      </c>
    </row>
    <row r="926" spans="1:5" ht="15">
      <c r="A926" s="13">
        <v>69337</v>
      </c>
      <c r="B926" s="4">
        <f>68.758 * CHOOSE(CONTROL!$C$10, $C$13, 100%, $E$13) + CHOOSE(CONTROL!$C$29, 0.0272, 0)</f>
        <v>68.785199999999989</v>
      </c>
      <c r="C926" s="4">
        <f>68.3947 * CHOOSE(CONTROL!$C$10, $C$13, 100%, $E$13) + CHOOSE(CONTROL!$C$29, 0.0272, 0)</f>
        <v>68.421899999999994</v>
      </c>
      <c r="D926" s="4">
        <f>84.8215 * CHOOSE(CONTROL!$C$10, $C$13, 100%, $E$13) + CHOOSE(CONTROL!$C$29, 0.0021, 0)</f>
        <v>84.823599999999999</v>
      </c>
      <c r="E926" s="4">
        <f>445.290682753327 * CHOOSE(CONTROL!$C$10, $C$13, 100%, $E$13) + CHOOSE(CONTROL!$C$29, 0.0021, 0)</f>
        <v>445.292782753327</v>
      </c>
    </row>
    <row r="927" spans="1:5" ht="15">
      <c r="A927" s="13">
        <v>69367</v>
      </c>
      <c r="B927" s="4">
        <f>67.2532 * CHOOSE(CONTROL!$C$10, $C$13, 100%, $E$13) + CHOOSE(CONTROL!$C$29, 0.0272, 0)</f>
        <v>67.2804</v>
      </c>
      <c r="C927" s="4">
        <f>66.8899 * CHOOSE(CONTROL!$C$10, $C$13, 100%, $E$13) + CHOOSE(CONTROL!$C$29, 0.0272, 0)</f>
        <v>66.917099999999991</v>
      </c>
      <c r="D927" s="4">
        <f>84.423 * CHOOSE(CONTROL!$C$10, $C$13, 100%, $E$13) + CHOOSE(CONTROL!$C$29, 0.0021, 0)</f>
        <v>84.4251</v>
      </c>
      <c r="E927" s="4">
        <f>435.434117344803 * CHOOSE(CONTROL!$C$10, $C$13, 100%, $E$13) + CHOOSE(CONTROL!$C$29, 0.0021, 0)</f>
        <v>435.43621734480297</v>
      </c>
    </row>
    <row r="928" spans="1:5" ht="15">
      <c r="A928" s="13">
        <v>69398</v>
      </c>
      <c r="B928" s="4">
        <f>66.212 * CHOOSE(CONTROL!$C$10, $C$13, 100%, $E$13) + CHOOSE(CONTROL!$C$29, 0.0272, 0)</f>
        <v>66.239199999999997</v>
      </c>
      <c r="C928" s="4">
        <f>65.8487 * CHOOSE(CONTROL!$C$10, $C$13, 100%, $E$13) + CHOOSE(CONTROL!$C$29, 0.0272, 0)</f>
        <v>65.875899999999987</v>
      </c>
      <c r="D928" s="4">
        <f>81.489 * CHOOSE(CONTROL!$C$10, $C$13, 100%, $E$13) + CHOOSE(CONTROL!$C$29, 0.0021, 0)</f>
        <v>81.491100000000003</v>
      </c>
      <c r="E928" s="4">
        <f>428.614641088622 * CHOOSE(CONTROL!$C$10, $C$13, 100%, $E$13) + CHOOSE(CONTROL!$C$29, 0.0021, 0)</f>
        <v>428.61674108862201</v>
      </c>
    </row>
    <row r="929" spans="1:5" ht="15">
      <c r="A929" s="13">
        <v>69429</v>
      </c>
      <c r="B929" s="4">
        <f>63.4831 * CHOOSE(CONTROL!$C$10, $C$13, 100%, $E$13) + CHOOSE(CONTROL!$C$29, 0.0272, 0)</f>
        <v>63.510300000000001</v>
      </c>
      <c r="C929" s="4">
        <f>63.1199 * CHOOSE(CONTROL!$C$10, $C$13, 100%, $E$13) + CHOOSE(CONTROL!$C$29, 0.0272, 0)</f>
        <v>63.147100000000002</v>
      </c>
      <c r="D929" s="4">
        <f>78.111 * CHOOSE(CONTROL!$C$10, $C$13, 100%, $E$13) + CHOOSE(CONTROL!$C$29, 0.0021, 0)</f>
        <v>78.113100000000003</v>
      </c>
      <c r="E929" s="4">
        <f>410.761099650211 * CHOOSE(CONTROL!$C$10, $C$13, 100%, $E$13) + CHOOSE(CONTROL!$C$29, 0.0021, 0)</f>
        <v>410.76319965021099</v>
      </c>
    </row>
    <row r="930" spans="1:5" ht="15">
      <c r="A930" s="13">
        <v>69457</v>
      </c>
      <c r="B930" s="4">
        <f>64.9721 * CHOOSE(CONTROL!$C$10, $C$13, 100%, $E$13) + CHOOSE(CONTROL!$C$29, 0.0272, 0)</f>
        <v>64.999299999999991</v>
      </c>
      <c r="C930" s="4">
        <f>64.6088 * CHOOSE(CONTROL!$C$10, $C$13, 100%, $E$13) + CHOOSE(CONTROL!$C$29, 0.0272, 0)</f>
        <v>64.635999999999996</v>
      </c>
      <c r="D930" s="4">
        <f>80.8025 * CHOOSE(CONTROL!$C$10, $C$13, 100%, $E$13) + CHOOSE(CONTROL!$C$29, 0.0021, 0)</f>
        <v>80.804599999999994</v>
      </c>
      <c r="E930" s="4">
        <f>420.514186928202 * CHOOSE(CONTROL!$C$10, $C$13, 100%, $E$13) + CHOOSE(CONTROL!$C$29, 0.0021, 0)</f>
        <v>420.51628692820196</v>
      </c>
    </row>
    <row r="931" spans="1:5" ht="15">
      <c r="A931" s="13">
        <v>69488</v>
      </c>
      <c r="B931" s="4">
        <f>68.8822 * CHOOSE(CONTROL!$C$10, $C$13, 100%, $E$13) + CHOOSE(CONTROL!$C$29, 0.0272, 0)</f>
        <v>68.909399999999991</v>
      </c>
      <c r="C931" s="4">
        <f>68.519 * CHOOSE(CONTROL!$C$10, $C$13, 100%, $E$13) + CHOOSE(CONTROL!$C$29, 0.0272, 0)</f>
        <v>68.546199999999999</v>
      </c>
      <c r="D931" s="4">
        <f>85.0158 * CHOOSE(CONTROL!$C$10, $C$13, 100%, $E$13) + CHOOSE(CONTROL!$C$29, 0.0021, 0)</f>
        <v>85.017899999999997</v>
      </c>
      <c r="E931" s="4">
        <f>446.126312430744 * CHOOSE(CONTROL!$C$10, $C$13, 100%, $E$13) + CHOOSE(CONTROL!$C$29, 0.0021, 0)</f>
        <v>446.12841243074399</v>
      </c>
    </row>
    <row r="932" spans="1:5" ht="15">
      <c r="A932" s="13">
        <v>69518</v>
      </c>
      <c r="B932" s="4">
        <f>71.6604 * CHOOSE(CONTROL!$C$10, $C$13, 100%, $E$13) + CHOOSE(CONTROL!$C$29, 0.0272, 0)</f>
        <v>71.687599999999989</v>
      </c>
      <c r="C932" s="4">
        <f>71.2972 * CHOOSE(CONTROL!$C$10, $C$13, 100%, $E$13) + CHOOSE(CONTROL!$C$29, 0.0272, 0)</f>
        <v>71.324399999999997</v>
      </c>
      <c r="D932" s="4">
        <f>87.4428 * CHOOSE(CONTROL!$C$10, $C$13, 100%, $E$13) + CHOOSE(CONTROL!$C$29, 0.0021, 0)</f>
        <v>87.444900000000004</v>
      </c>
      <c r="E932" s="4">
        <f>464.32406892675 * CHOOSE(CONTROL!$C$10, $C$13, 100%, $E$13) + CHOOSE(CONTROL!$C$29, 0.0021, 0)</f>
        <v>464.32616892674997</v>
      </c>
    </row>
    <row r="933" spans="1:5" ht="15">
      <c r="A933" s="13">
        <v>69549</v>
      </c>
      <c r="B933" s="4">
        <f>73.3579 * CHOOSE(CONTROL!$C$10, $C$13, 100%, $E$13) + CHOOSE(CONTROL!$C$29, 0.0272, 0)</f>
        <v>73.385099999999994</v>
      </c>
      <c r="C933" s="4">
        <f>72.9946 * CHOOSE(CONTROL!$C$10, $C$13, 100%, $E$13) + CHOOSE(CONTROL!$C$29, 0.0272, 0)</f>
        <v>73.021799999999999</v>
      </c>
      <c r="D933" s="4">
        <f>86.4838 * CHOOSE(CONTROL!$C$10, $C$13, 100%, $E$13) + CHOOSE(CONTROL!$C$29, 0.0021, 0)</f>
        <v>86.485900000000001</v>
      </c>
      <c r="E933" s="4">
        <f>475.442462006456 * CHOOSE(CONTROL!$C$10, $C$13, 100%, $E$13) + CHOOSE(CONTROL!$C$29, 0.0021, 0)</f>
        <v>475.44456200645601</v>
      </c>
    </row>
    <row r="934" spans="1:5" ht="15">
      <c r="A934" s="13">
        <v>69579</v>
      </c>
      <c r="B934" s="4">
        <f>73.5875 * CHOOSE(CONTROL!$C$10, $C$13, 100%, $E$13) + CHOOSE(CONTROL!$C$29, 0.0272, 0)</f>
        <v>73.614699999999999</v>
      </c>
      <c r="C934" s="4">
        <f>73.2242 * CHOOSE(CONTROL!$C$10, $C$13, 100%, $E$13) + CHOOSE(CONTROL!$C$29, 0.0272, 0)</f>
        <v>73.25139999999999</v>
      </c>
      <c r="D934" s="4">
        <f>87.2648 * CHOOSE(CONTROL!$C$10, $C$13, 100%, $E$13) + CHOOSE(CONTROL!$C$29, 0.0021, 0)</f>
        <v>87.266899999999993</v>
      </c>
      <c r="E934" s="4">
        <f>476.94682673242 * CHOOSE(CONTROL!$C$10, $C$13, 100%, $E$13) + CHOOSE(CONTROL!$C$29, 0.0021, 0)</f>
        <v>476.94892673241998</v>
      </c>
    </row>
    <row r="935" spans="1:5" ht="15">
      <c r="A935" s="13">
        <v>69610</v>
      </c>
      <c r="B935" s="4">
        <f>73.5644 * CHOOSE(CONTROL!$C$10, $C$13, 100%, $E$13) + CHOOSE(CONTROL!$C$29, 0.0272, 0)</f>
        <v>73.5916</v>
      </c>
      <c r="C935" s="4">
        <f>73.2011 * CHOOSE(CONTROL!$C$10, $C$13, 100%, $E$13) + CHOOSE(CONTROL!$C$29, 0.0272, 0)</f>
        <v>73.22829999999999</v>
      </c>
      <c r="D935" s="4">
        <f>88.6741 * CHOOSE(CONTROL!$C$10, $C$13, 100%, $E$13) + CHOOSE(CONTROL!$C$29, 0.0021, 0)</f>
        <v>88.676199999999994</v>
      </c>
      <c r="E935" s="4">
        <f>476.795126087785 * CHOOSE(CONTROL!$C$10, $C$13, 100%, $E$13) + CHOOSE(CONTROL!$C$29, 0.0021, 0)</f>
        <v>476.79722608778496</v>
      </c>
    </row>
    <row r="936" spans="1:5" ht="15">
      <c r="A936" s="13">
        <v>69641</v>
      </c>
      <c r="B936" s="4">
        <f>75.3071 * CHOOSE(CONTROL!$C$10, $C$13, 100%, $E$13) + CHOOSE(CONTROL!$C$29, 0.0272, 0)</f>
        <v>75.334299999999999</v>
      </c>
      <c r="C936" s="4">
        <f>74.9439 * CHOOSE(CONTROL!$C$10, $C$13, 100%, $E$13) + CHOOSE(CONTROL!$C$29, 0.0272, 0)</f>
        <v>74.971099999999993</v>
      </c>
      <c r="D936" s="4">
        <f>87.7434 * CHOOSE(CONTROL!$C$10, $C$13, 100%, $E$13) + CHOOSE(CONTROL!$C$29, 0.0021, 0)</f>
        <v>87.745499999999993</v>
      </c>
      <c r="E936" s="4">
        <f>488.210599596568 * CHOOSE(CONTROL!$C$10, $C$13, 100%, $E$13) + CHOOSE(CONTROL!$C$29, 0.0021, 0)</f>
        <v>488.21269959656797</v>
      </c>
    </row>
    <row r="937" spans="1:5" ht="15">
      <c r="A937" s="13">
        <v>69671</v>
      </c>
      <c r="B937" s="4">
        <f>72.3369 * CHOOSE(CONTROL!$C$10, $C$13, 100%, $E$13) + CHOOSE(CONTROL!$C$29, 0.0272, 0)</f>
        <v>72.364099999999993</v>
      </c>
      <c r="C937" s="4">
        <f>71.9736 * CHOOSE(CONTROL!$C$10, $C$13, 100%, $E$13) + CHOOSE(CONTROL!$C$29, 0.0272, 0)</f>
        <v>72.000799999999998</v>
      </c>
      <c r="D937" s="4">
        <f>87.3037 * CHOOSE(CONTROL!$C$10, $C$13, 100%, $E$13) + CHOOSE(CONTROL!$C$29, 0.0021, 0)</f>
        <v>87.305800000000005</v>
      </c>
      <c r="E937" s="4">
        <f>468.75499192213 * CHOOSE(CONTROL!$C$10, $C$13, 100%, $E$13) + CHOOSE(CONTROL!$C$29, 0.0021, 0)</f>
        <v>468.75709192212997</v>
      </c>
    </row>
    <row r="938" spans="1:5" ht="15">
      <c r="A938" s="13">
        <v>69702</v>
      </c>
      <c r="B938" s="4">
        <f>69.9592 * CHOOSE(CONTROL!$C$10, $C$13, 100%, $E$13) + CHOOSE(CONTROL!$C$29, 0.0272, 0)</f>
        <v>69.986399999999989</v>
      </c>
      <c r="C938" s="4">
        <f>69.5959 * CHOOSE(CONTROL!$C$10, $C$13, 100%, $E$13) + CHOOSE(CONTROL!$C$29, 0.0272, 0)</f>
        <v>69.623099999999994</v>
      </c>
      <c r="D938" s="4">
        <f>86.1262 * CHOOSE(CONTROL!$C$10, $C$13, 100%, $E$13) + CHOOSE(CONTROL!$C$29, 0.0021, 0)</f>
        <v>86.128299999999996</v>
      </c>
      <c r="E938" s="4">
        <f>453.180392406271 * CHOOSE(CONTROL!$C$10, $C$13, 100%, $E$13) + CHOOSE(CONTROL!$C$29, 0.0021, 0)</f>
        <v>453.18249240627097</v>
      </c>
    </row>
    <row r="939" spans="1:5" ht="15">
      <c r="A939" s="13">
        <v>69732</v>
      </c>
      <c r="B939" s="4">
        <f>68.4277 * CHOOSE(CONTROL!$C$10, $C$13, 100%, $E$13) + CHOOSE(CONTROL!$C$29, 0.0272, 0)</f>
        <v>68.454899999999995</v>
      </c>
      <c r="C939" s="4">
        <f>68.0645 * CHOOSE(CONTROL!$C$10, $C$13, 100%, $E$13) + CHOOSE(CONTROL!$C$29, 0.0272, 0)</f>
        <v>68.091699999999989</v>
      </c>
      <c r="D939" s="4">
        <f>85.7214 * CHOOSE(CONTROL!$C$10, $C$13, 100%, $E$13) + CHOOSE(CONTROL!$C$29, 0.0021, 0)</f>
        <v>85.723500000000001</v>
      </c>
      <c r="E939" s="4">
        <f>443.149187279782 * CHOOSE(CONTROL!$C$10, $C$13, 100%, $E$13) + CHOOSE(CONTROL!$C$29, 0.0021, 0)</f>
        <v>443.15128727978197</v>
      </c>
    </row>
    <row r="940" spans="1:5" ht="15">
      <c r="A940" s="13">
        <v>69763</v>
      </c>
      <c r="B940" s="4">
        <f>67.3682 * CHOOSE(CONTROL!$C$10, $C$13, 100%, $E$13) + CHOOSE(CONTROL!$C$29, 0.0272, 0)</f>
        <v>67.395399999999995</v>
      </c>
      <c r="C940" s="4">
        <f>67.0049 * CHOOSE(CONTROL!$C$10, $C$13, 100%, $E$13) + CHOOSE(CONTROL!$C$29, 0.0272, 0)</f>
        <v>67.0321</v>
      </c>
      <c r="D940" s="4">
        <f>82.7413 * CHOOSE(CONTROL!$C$10, $C$13, 100%, $E$13) + CHOOSE(CONTROL!$C$29, 0.0021, 0)</f>
        <v>82.743399999999994</v>
      </c>
      <c r="E940" s="4">
        <f>436.208882787731 * CHOOSE(CONTROL!$C$10, $C$13, 100%, $E$13) + CHOOSE(CONTROL!$C$29, 0.0021, 0)</f>
        <v>436.21098278773098</v>
      </c>
    </row>
    <row r="941" spans="1:5" ht="15">
      <c r="A941" s="13">
        <v>69794</v>
      </c>
      <c r="B941" s="4">
        <f>64.5911 * CHOOSE(CONTROL!$C$10, $C$13, 100%, $E$13) + CHOOSE(CONTROL!$C$29, 0.0272, 0)</f>
        <v>64.618299999999991</v>
      </c>
      <c r="C941" s="4">
        <f>64.2278 * CHOOSE(CONTROL!$C$10, $C$13, 100%, $E$13) + CHOOSE(CONTROL!$C$29, 0.0272, 0)</f>
        <v>64.254999999999995</v>
      </c>
      <c r="D941" s="4">
        <f>79.3102 * CHOOSE(CONTROL!$C$10, $C$13, 100%, $E$13) + CHOOSE(CONTROL!$C$29, 0.0021, 0)</f>
        <v>79.312299999999993</v>
      </c>
      <c r="E941" s="4">
        <f>418.039010324033 * CHOOSE(CONTROL!$C$10, $C$13, 100%, $E$13) + CHOOSE(CONTROL!$C$29, 0.0021, 0)</f>
        <v>418.04111032403296</v>
      </c>
    </row>
    <row r="942" spans="1:5" ht="15">
      <c r="A942" s="13">
        <v>69822</v>
      </c>
      <c r="B942" s="4">
        <f>66.1064 * CHOOSE(CONTROL!$C$10, $C$13, 100%, $E$13) + CHOOSE(CONTROL!$C$29, 0.0272, 0)</f>
        <v>66.133599999999987</v>
      </c>
      <c r="C942" s="4">
        <f>65.7431 * CHOOSE(CONTROL!$C$10, $C$13, 100%, $E$13) + CHOOSE(CONTROL!$C$29, 0.0272, 0)</f>
        <v>65.770299999999992</v>
      </c>
      <c r="D942" s="4">
        <f>82.044 * CHOOSE(CONTROL!$C$10, $C$13, 100%, $E$13) + CHOOSE(CONTROL!$C$29, 0.0021, 0)</f>
        <v>82.046099999999996</v>
      </c>
      <c r="E942" s="4">
        <f>427.964903883008 * CHOOSE(CONTROL!$C$10, $C$13, 100%, $E$13) + CHOOSE(CONTROL!$C$29, 0.0021, 0)</f>
        <v>427.96700388300798</v>
      </c>
    </row>
    <row r="943" spans="1:5" ht="15">
      <c r="A943" s="13">
        <v>69853</v>
      </c>
      <c r="B943" s="4">
        <f>70.0856 * CHOOSE(CONTROL!$C$10, $C$13, 100%, $E$13) + CHOOSE(CONTROL!$C$29, 0.0272, 0)</f>
        <v>70.112799999999993</v>
      </c>
      <c r="C943" s="4">
        <f>69.7223 * CHOOSE(CONTROL!$C$10, $C$13, 100%, $E$13) + CHOOSE(CONTROL!$C$29, 0.0272, 0)</f>
        <v>69.749499999999998</v>
      </c>
      <c r="D943" s="4">
        <f>86.3235 * CHOOSE(CONTROL!$C$10, $C$13, 100%, $E$13) + CHOOSE(CONTROL!$C$29, 0.0021, 0)</f>
        <v>86.325599999999994</v>
      </c>
      <c r="E943" s="4">
        <f>454.030827862895 * CHOOSE(CONTROL!$C$10, $C$13, 100%, $E$13) + CHOOSE(CONTROL!$C$29, 0.0021, 0)</f>
        <v>454.03292786289501</v>
      </c>
    </row>
    <row r="944" spans="1:5" ht="15">
      <c r="A944" s="13">
        <v>69883</v>
      </c>
      <c r="B944" s="4">
        <f>72.9129 * CHOOSE(CONTROL!$C$10, $C$13, 100%, $E$13) + CHOOSE(CONTROL!$C$29, 0.0272, 0)</f>
        <v>72.940099999999987</v>
      </c>
      <c r="C944" s="4">
        <f>72.5496 * CHOOSE(CONTROL!$C$10, $C$13, 100%, $E$13) + CHOOSE(CONTROL!$C$29, 0.0272, 0)</f>
        <v>72.576799999999992</v>
      </c>
      <c r="D944" s="4">
        <f>88.7887 * CHOOSE(CONTROL!$C$10, $C$13, 100%, $E$13) + CHOOSE(CONTROL!$C$29, 0.0021, 0)</f>
        <v>88.790800000000004</v>
      </c>
      <c r="E944" s="4">
        <f>472.551014224715 * CHOOSE(CONTROL!$C$10, $C$13, 100%, $E$13) + CHOOSE(CONTROL!$C$29, 0.0021, 0)</f>
        <v>472.55311422471499</v>
      </c>
    </row>
    <row r="945" spans="1:5" ht="15">
      <c r="A945" s="13">
        <v>69914</v>
      </c>
      <c r="B945" s="4">
        <f>74.6403 * CHOOSE(CONTROL!$C$10, $C$13, 100%, $E$13) + CHOOSE(CONTROL!$C$29, 0.0272, 0)</f>
        <v>74.66749999999999</v>
      </c>
      <c r="C945" s="4">
        <f>74.277 * CHOOSE(CONTROL!$C$10, $C$13, 100%, $E$13) + CHOOSE(CONTROL!$C$29, 0.0272, 0)</f>
        <v>74.304199999999994</v>
      </c>
      <c r="D945" s="4">
        <f>87.8146 * CHOOSE(CONTROL!$C$10, $C$13, 100%, $E$13) + CHOOSE(CONTROL!$C$29, 0.0021, 0)</f>
        <v>87.816699999999997</v>
      </c>
      <c r="E945" s="4">
        <f>483.866404224869 * CHOOSE(CONTROL!$C$10, $C$13, 100%, $E$13) + CHOOSE(CONTROL!$C$29, 0.0021, 0)</f>
        <v>483.86850422486896</v>
      </c>
    </row>
    <row r="946" spans="1:5" ht="15">
      <c r="A946" s="13">
        <v>69944</v>
      </c>
      <c r="B946" s="4">
        <f>74.874 * CHOOSE(CONTROL!$C$10, $C$13, 100%, $E$13) + CHOOSE(CONTROL!$C$29, 0.0272, 0)</f>
        <v>74.901199999999989</v>
      </c>
      <c r="C946" s="4">
        <f>74.5107 * CHOOSE(CONTROL!$C$10, $C$13, 100%, $E$13) + CHOOSE(CONTROL!$C$29, 0.0272, 0)</f>
        <v>74.537899999999993</v>
      </c>
      <c r="D946" s="4">
        <f>88.6079 * CHOOSE(CONTROL!$C$10, $C$13, 100%, $E$13) + CHOOSE(CONTROL!$C$29, 0.0021, 0)</f>
        <v>88.61</v>
      </c>
      <c r="E946" s="4">
        <f>485.397423451723 * CHOOSE(CONTROL!$C$10, $C$13, 100%, $E$13) + CHOOSE(CONTROL!$C$29, 0.0021, 0)</f>
        <v>485.39952345172298</v>
      </c>
    </row>
    <row r="947" spans="1:5" ht="15">
      <c r="A947" s="13">
        <v>69975</v>
      </c>
      <c r="B947" s="4">
        <f>74.8505 * CHOOSE(CONTROL!$C$10, $C$13, 100%, $E$13) + CHOOSE(CONTROL!$C$29, 0.0272, 0)</f>
        <v>74.87769999999999</v>
      </c>
      <c r="C947" s="4">
        <f>74.4872 * CHOOSE(CONTROL!$C$10, $C$13, 100%, $E$13) + CHOOSE(CONTROL!$C$29, 0.0272, 0)</f>
        <v>74.514399999999995</v>
      </c>
      <c r="D947" s="4">
        <f>90.0394 * CHOOSE(CONTROL!$C$10, $C$13, 100%, $E$13) + CHOOSE(CONTROL!$C$29, 0.0021, 0)</f>
        <v>90.041499999999999</v>
      </c>
      <c r="E947" s="4">
        <f>485.243034958259 * CHOOSE(CONTROL!$C$10, $C$13, 100%, $E$13) + CHOOSE(CONTROL!$C$29, 0.0021, 0)</f>
        <v>485.24513495825897</v>
      </c>
    </row>
    <row r="948" spans="1:5" ht="15">
      <c r="A948" s="13">
        <v>70006</v>
      </c>
      <c r="B948" s="4">
        <f>76.624 * CHOOSE(CONTROL!$C$10, $C$13, 100%, $E$13) + CHOOSE(CONTROL!$C$29, 0.0272, 0)</f>
        <v>76.651199999999989</v>
      </c>
      <c r="C948" s="4">
        <f>76.2607 * CHOOSE(CONTROL!$C$10, $C$13, 100%, $E$13) + CHOOSE(CONTROL!$C$29, 0.0272, 0)</f>
        <v>76.287899999999993</v>
      </c>
      <c r="D948" s="4">
        <f>89.094 * CHOOSE(CONTROL!$C$10, $C$13, 100%, $E$13) + CHOOSE(CONTROL!$C$29, 0.0021, 0)</f>
        <v>89.096099999999993</v>
      </c>
      <c r="E948" s="4">
        <f>496.860769091446 * CHOOSE(CONTROL!$C$10, $C$13, 100%, $E$13) + CHOOSE(CONTROL!$C$29, 0.0021, 0)</f>
        <v>496.86286909144599</v>
      </c>
    </row>
    <row r="949" spans="1:5" ht="15">
      <c r="A949" s="13">
        <v>70036</v>
      </c>
      <c r="B949" s="4">
        <f>73.6013 * CHOOSE(CONTROL!$C$10, $C$13, 100%, $E$13) + CHOOSE(CONTROL!$C$29, 0.0272, 0)</f>
        <v>73.628499999999988</v>
      </c>
      <c r="C949" s="4">
        <f>73.238 * CHOOSE(CONTROL!$C$10, $C$13, 100%, $E$13) + CHOOSE(CONTROL!$C$29, 0.0272, 0)</f>
        <v>73.265199999999993</v>
      </c>
      <c r="D949" s="4">
        <f>88.6474 * CHOOSE(CONTROL!$C$10, $C$13, 100%, $E$13) + CHOOSE(CONTROL!$C$29, 0.0021, 0)</f>
        <v>88.649500000000003</v>
      </c>
      <c r="E949" s="4">
        <f>477.060444804652 * CHOOSE(CONTROL!$C$10, $C$13, 100%, $E$13) + CHOOSE(CONTROL!$C$29, 0.0021, 0)</f>
        <v>477.06254480465196</v>
      </c>
    </row>
    <row r="950" spans="1:5" ht="15">
      <c r="A950" s="13">
        <v>70067</v>
      </c>
      <c r="B950" s="4">
        <f>71.1816 * CHOOSE(CONTROL!$C$10, $C$13, 100%, $E$13) + CHOOSE(CONTROL!$C$29, 0.0272, 0)</f>
        <v>71.208799999999997</v>
      </c>
      <c r="C950" s="4">
        <f>70.8183 * CHOOSE(CONTROL!$C$10, $C$13, 100%, $E$13) + CHOOSE(CONTROL!$C$29, 0.0272, 0)</f>
        <v>70.845499999999987</v>
      </c>
      <c r="D950" s="4">
        <f>87.4514 * CHOOSE(CONTROL!$C$10, $C$13, 100%, $E$13) + CHOOSE(CONTROL!$C$29, 0.0021, 0)</f>
        <v>87.453500000000005</v>
      </c>
      <c r="E950" s="4">
        <f>461.209892808984 * CHOOSE(CONTROL!$C$10, $C$13, 100%, $E$13) + CHOOSE(CONTROL!$C$29, 0.0021, 0)</f>
        <v>461.21199280898401</v>
      </c>
    </row>
    <row r="951" spans="1:5" ht="15">
      <c r="A951" s="13">
        <v>70097</v>
      </c>
      <c r="B951" s="4">
        <f>69.6231 * CHOOSE(CONTROL!$C$10, $C$13, 100%, $E$13) + CHOOSE(CONTROL!$C$29, 0.0272, 0)</f>
        <v>69.650299999999987</v>
      </c>
      <c r="C951" s="4">
        <f>69.2598 * CHOOSE(CONTROL!$C$10, $C$13, 100%, $E$13) + CHOOSE(CONTROL!$C$29, 0.0272, 0)</f>
        <v>69.286999999999992</v>
      </c>
      <c r="D951" s="4">
        <f>87.0403 * CHOOSE(CONTROL!$C$10, $C$13, 100%, $E$13) + CHOOSE(CONTROL!$C$29, 0.0021, 0)</f>
        <v>87.042400000000001</v>
      </c>
      <c r="E951" s="4">
        <f>451.000953678658 * CHOOSE(CONTROL!$C$10, $C$13, 100%, $E$13) + CHOOSE(CONTROL!$C$29, 0.0021, 0)</f>
        <v>451.00305367865798</v>
      </c>
    </row>
    <row r="952" spans="1:5" ht="15">
      <c r="A952" s="13">
        <v>70128</v>
      </c>
      <c r="B952" s="4">
        <f>68.5448 * CHOOSE(CONTROL!$C$10, $C$13, 100%, $E$13) + CHOOSE(CONTROL!$C$29, 0.0272, 0)</f>
        <v>68.571999999999989</v>
      </c>
      <c r="C952" s="4">
        <f>68.1815 * CHOOSE(CONTROL!$C$10, $C$13, 100%, $E$13) + CHOOSE(CONTROL!$C$29, 0.0272, 0)</f>
        <v>68.208699999999993</v>
      </c>
      <c r="D952" s="4">
        <f>84.0132 * CHOOSE(CONTROL!$C$10, $C$13, 100%, $E$13) + CHOOSE(CONTROL!$C$29, 0.0021, 0)</f>
        <v>84.015299999999996</v>
      </c>
      <c r="E952" s="4">
        <f>443.937680102667 * CHOOSE(CONTROL!$C$10, $C$13, 100%, $E$13) + CHOOSE(CONTROL!$C$29, 0.0021, 0)</f>
        <v>443.93978010266699</v>
      </c>
    </row>
    <row r="953" spans="1:5" ht="15">
      <c r="A953" s="13">
        <v>70159</v>
      </c>
      <c r="B953" s="4">
        <f>65.7187 * CHOOSE(CONTROL!$C$10, $C$13, 100%, $E$13) + CHOOSE(CONTROL!$C$29, 0.0272, 0)</f>
        <v>65.745899999999992</v>
      </c>
      <c r="C953" s="4">
        <f>65.3554 * CHOOSE(CONTROL!$C$10, $C$13, 100%, $E$13) + CHOOSE(CONTROL!$C$29, 0.0272, 0)</f>
        <v>65.382599999999996</v>
      </c>
      <c r="D953" s="4">
        <f>80.5282 * CHOOSE(CONTROL!$C$10, $C$13, 100%, $E$13) + CHOOSE(CONTROL!$C$29, 0.0021, 0)</f>
        <v>80.530299999999997</v>
      </c>
      <c r="E953" s="4">
        <f>425.445871825529 * CHOOSE(CONTROL!$C$10, $C$13, 100%, $E$13) + CHOOSE(CONTROL!$C$29, 0.0021, 0)</f>
        <v>425.44797182552901</v>
      </c>
    </row>
    <row r="954" spans="1:5" ht="15">
      <c r="A954" s="13">
        <v>70188</v>
      </c>
      <c r="B954" s="4">
        <f>67.2607 * CHOOSE(CONTROL!$C$10, $C$13, 100%, $E$13) + CHOOSE(CONTROL!$C$29, 0.0272, 0)</f>
        <v>67.287899999999993</v>
      </c>
      <c r="C954" s="4">
        <f>66.8974 * CHOOSE(CONTROL!$C$10, $C$13, 100%, $E$13) + CHOOSE(CONTROL!$C$29, 0.0272, 0)</f>
        <v>66.924599999999998</v>
      </c>
      <c r="D954" s="4">
        <f>83.305 * CHOOSE(CONTROL!$C$10, $C$13, 100%, $E$13) + CHOOSE(CONTROL!$C$29, 0.0021, 0)</f>
        <v>83.307100000000005</v>
      </c>
      <c r="E954" s="4">
        <f>435.54763346632 * CHOOSE(CONTROL!$C$10, $C$13, 100%, $E$13) + CHOOSE(CONTROL!$C$29, 0.0021, 0)</f>
        <v>435.54973346631999</v>
      </c>
    </row>
    <row r="955" spans="1:5" ht="15">
      <c r="A955" s="13">
        <v>70219</v>
      </c>
      <c r="B955" s="4">
        <f>71.3102 * CHOOSE(CONTROL!$C$10, $C$13, 100%, $E$13) + CHOOSE(CONTROL!$C$29, 0.0272, 0)</f>
        <v>71.337399999999988</v>
      </c>
      <c r="C955" s="4">
        <f>70.947 * CHOOSE(CONTROL!$C$10, $C$13, 100%, $E$13) + CHOOSE(CONTROL!$C$29, 0.0272, 0)</f>
        <v>70.974199999999996</v>
      </c>
      <c r="D955" s="4">
        <f>87.6518 * CHOOSE(CONTROL!$C$10, $C$13, 100%, $E$13) + CHOOSE(CONTROL!$C$29, 0.0021, 0)</f>
        <v>87.653899999999993</v>
      </c>
      <c r="E955" s="4">
        <f>462.075396375253 * CHOOSE(CONTROL!$C$10, $C$13, 100%, $E$13) + CHOOSE(CONTROL!$C$29, 0.0021, 0)</f>
        <v>462.07749637525296</v>
      </c>
    </row>
    <row r="956" spans="1:5" ht="15">
      <c r="A956" s="13">
        <v>70249</v>
      </c>
      <c r="B956" s="4">
        <f>74.1875 * CHOOSE(CONTROL!$C$10, $C$13, 100%, $E$13) + CHOOSE(CONTROL!$C$29, 0.0272, 0)</f>
        <v>74.214699999999993</v>
      </c>
      <c r="C956" s="4">
        <f>73.8242 * CHOOSE(CONTROL!$C$10, $C$13, 100%, $E$13) + CHOOSE(CONTROL!$C$29, 0.0272, 0)</f>
        <v>73.851399999999998</v>
      </c>
      <c r="D956" s="4">
        <f>90.1558 * CHOOSE(CONTROL!$C$10, $C$13, 100%, $E$13) + CHOOSE(CONTROL!$C$29, 0.0021, 0)</f>
        <v>90.157899999999998</v>
      </c>
      <c r="E956" s="4">
        <f>480.923725450974 * CHOOSE(CONTROL!$C$10, $C$13, 100%, $E$13) + CHOOSE(CONTROL!$C$29, 0.0021, 0)</f>
        <v>480.925825450974</v>
      </c>
    </row>
    <row r="957" spans="1:5" ht="15">
      <c r="A957" s="13">
        <v>70280</v>
      </c>
      <c r="B957" s="4">
        <f>75.9454 * CHOOSE(CONTROL!$C$10, $C$13, 100%, $E$13) + CHOOSE(CONTROL!$C$29, 0.0272, 0)</f>
        <v>75.9726</v>
      </c>
      <c r="C957" s="4">
        <f>75.5821 * CHOOSE(CONTROL!$C$10, $C$13, 100%, $E$13) + CHOOSE(CONTROL!$C$29, 0.0272, 0)</f>
        <v>75.60929999999999</v>
      </c>
      <c r="D957" s="4">
        <f>89.1663 * CHOOSE(CONTROL!$C$10, $C$13, 100%, $E$13) + CHOOSE(CONTROL!$C$29, 0.0021, 0)</f>
        <v>89.168400000000005</v>
      </c>
      <c r="E957" s="4">
        <f>492.439602784837 * CHOOSE(CONTROL!$C$10, $C$13, 100%, $E$13) + CHOOSE(CONTROL!$C$29, 0.0021, 0)</f>
        <v>492.44170278483699</v>
      </c>
    </row>
    <row r="958" spans="1:5" ht="15">
      <c r="A958" s="13">
        <v>70310</v>
      </c>
      <c r="B958" s="4">
        <f>76.1833 * CHOOSE(CONTROL!$C$10, $C$13, 100%, $E$13) + CHOOSE(CONTROL!$C$29, 0.0272, 0)</f>
        <v>76.210499999999996</v>
      </c>
      <c r="C958" s="4">
        <f>75.82 * CHOOSE(CONTROL!$C$10, $C$13, 100%, $E$13) + CHOOSE(CONTROL!$C$29, 0.0272, 0)</f>
        <v>75.847199999999987</v>
      </c>
      <c r="D958" s="4">
        <f>89.9722 * CHOOSE(CONTROL!$C$10, $C$13, 100%, $E$13) + CHOOSE(CONTROL!$C$29, 0.0021, 0)</f>
        <v>89.974299999999999</v>
      </c>
      <c r="E958" s="4">
        <f>493.997748779982 * CHOOSE(CONTROL!$C$10, $C$13, 100%, $E$13) + CHOOSE(CONTROL!$C$29, 0.0021, 0)</f>
        <v>493.99984877998196</v>
      </c>
    </row>
    <row r="959" spans="1:5" ht="15">
      <c r="A959" s="13">
        <v>70341</v>
      </c>
      <c r="B959" s="4">
        <f>76.1593 * CHOOSE(CONTROL!$C$10, $C$13, 100%, $E$13) + CHOOSE(CONTROL!$C$29, 0.0272, 0)</f>
        <v>76.186499999999995</v>
      </c>
      <c r="C959" s="4">
        <f>75.796 * CHOOSE(CONTROL!$C$10, $C$13, 100%, $E$13) + CHOOSE(CONTROL!$C$29, 0.0272, 0)</f>
        <v>75.8232</v>
      </c>
      <c r="D959" s="4">
        <f>91.4261 * CHOOSE(CONTROL!$C$10, $C$13, 100%, $E$13) + CHOOSE(CONTROL!$C$29, 0.0021, 0)</f>
        <v>91.428200000000004</v>
      </c>
      <c r="E959" s="4">
        <f>493.840624814085 * CHOOSE(CONTROL!$C$10, $C$13, 100%, $E$13) + CHOOSE(CONTROL!$C$29, 0.0021, 0)</f>
        <v>493.84272481408499</v>
      </c>
    </row>
    <row r="960" spans="1:5" ht="15">
      <c r="A960" s="13">
        <v>70372</v>
      </c>
      <c r="B960" s="4">
        <f>77.9642 * CHOOSE(CONTROL!$C$10, $C$13, 100%, $E$13) + CHOOSE(CONTROL!$C$29, 0.0272, 0)</f>
        <v>77.991399999999999</v>
      </c>
      <c r="C960" s="4">
        <f>77.6009 * CHOOSE(CONTROL!$C$10, $C$13, 100%, $E$13) + CHOOSE(CONTROL!$C$29, 0.0272, 0)</f>
        <v>77.628099999999989</v>
      </c>
      <c r="D960" s="4">
        <f>90.4659 * CHOOSE(CONTROL!$C$10, $C$13, 100%, $E$13) + CHOOSE(CONTROL!$C$29, 0.0021, 0)</f>
        <v>90.468000000000004</v>
      </c>
      <c r="E960" s="4">
        <f>505.66420324783 * CHOOSE(CONTROL!$C$10, $C$13, 100%, $E$13) + CHOOSE(CONTROL!$C$29, 0.0021, 0)</f>
        <v>505.66630324783</v>
      </c>
    </row>
    <row r="961" spans="1:5" ht="15">
      <c r="A961" s="13">
        <v>70402</v>
      </c>
      <c r="B961" s="4">
        <f>74.8881 * CHOOSE(CONTROL!$C$10, $C$13, 100%, $E$13) + CHOOSE(CONTROL!$C$29, 0.0272, 0)</f>
        <v>74.915299999999988</v>
      </c>
      <c r="C961" s="4">
        <f>74.5248 * CHOOSE(CONTROL!$C$10, $C$13, 100%, $E$13) + CHOOSE(CONTROL!$C$29, 0.0272, 0)</f>
        <v>74.551999999999992</v>
      </c>
      <c r="D961" s="4">
        <f>90.0122 * CHOOSE(CONTROL!$C$10, $C$13, 100%, $E$13) + CHOOSE(CONTROL!$C$29, 0.0021, 0)</f>
        <v>90.014300000000006</v>
      </c>
      <c r="E961" s="4">
        <f>485.513054621547 * CHOOSE(CONTROL!$C$10, $C$13, 100%, $E$13) + CHOOSE(CONTROL!$C$29, 0.0021, 0)</f>
        <v>485.51515462154697</v>
      </c>
    </row>
    <row r="962" spans="1:5" ht="15">
      <c r="A962" s="13">
        <v>70433</v>
      </c>
      <c r="B962" s="4">
        <f>72.4256 * CHOOSE(CONTROL!$C$10, $C$13, 100%, $E$13) + CHOOSE(CONTROL!$C$29, 0.0272, 0)</f>
        <v>72.452799999999996</v>
      </c>
      <c r="C962" s="4">
        <f>72.0623 * CHOOSE(CONTROL!$C$10, $C$13, 100%, $E$13) + CHOOSE(CONTROL!$C$29, 0.0272, 0)</f>
        <v>72.089499999999987</v>
      </c>
      <c r="D962" s="4">
        <f>88.7975 * CHOOSE(CONTROL!$C$10, $C$13, 100%, $E$13) + CHOOSE(CONTROL!$C$29, 0.0021, 0)</f>
        <v>88.799599999999998</v>
      </c>
      <c r="E962" s="4">
        <f>469.381660789461 * CHOOSE(CONTROL!$C$10, $C$13, 100%, $E$13) + CHOOSE(CONTROL!$C$29, 0.0021, 0)</f>
        <v>469.38376078946101</v>
      </c>
    </row>
    <row r="963" spans="1:5" ht="15">
      <c r="A963" s="13">
        <v>70463</v>
      </c>
      <c r="B963" s="4">
        <f>70.8395 * CHOOSE(CONTROL!$C$10, $C$13, 100%, $E$13) + CHOOSE(CONTROL!$C$29, 0.0272, 0)</f>
        <v>70.866699999999994</v>
      </c>
      <c r="C963" s="4">
        <f>70.4762 * CHOOSE(CONTROL!$C$10, $C$13, 100%, $E$13) + CHOOSE(CONTROL!$C$29, 0.0272, 0)</f>
        <v>70.503399999999999</v>
      </c>
      <c r="D963" s="4">
        <f>88.3799 * CHOOSE(CONTROL!$C$10, $C$13, 100%, $E$13) + CHOOSE(CONTROL!$C$29, 0.0021, 0)</f>
        <v>88.382000000000005</v>
      </c>
      <c r="E963" s="4">
        <f>458.991838544526 * CHOOSE(CONTROL!$C$10, $C$13, 100%, $E$13) + CHOOSE(CONTROL!$C$29, 0.0021, 0)</f>
        <v>458.99393854452597</v>
      </c>
    </row>
    <row r="964" spans="1:5" ht="15">
      <c r="A964" s="13">
        <v>70494</v>
      </c>
      <c r="B964" s="4">
        <f>69.7422 * CHOOSE(CONTROL!$C$10, $C$13, 100%, $E$13) + CHOOSE(CONTROL!$C$29, 0.0272, 0)</f>
        <v>69.76939999999999</v>
      </c>
      <c r="C964" s="4">
        <f>69.3789 * CHOOSE(CONTROL!$C$10, $C$13, 100%, $E$13) + CHOOSE(CONTROL!$C$29, 0.0272, 0)</f>
        <v>69.406099999999995</v>
      </c>
      <c r="D964" s="4">
        <f>85.3052 * CHOOSE(CONTROL!$C$10, $C$13, 100%, $E$13) + CHOOSE(CONTROL!$C$29, 0.0021, 0)</f>
        <v>85.307299999999998</v>
      </c>
      <c r="E964" s="4">
        <f>451.803417104741 * CHOOSE(CONTROL!$C$10, $C$13, 100%, $E$13) + CHOOSE(CONTROL!$C$29, 0.0021, 0)</f>
        <v>451.805517104741</v>
      </c>
    </row>
    <row r="965" spans="1:5" ht="15">
      <c r="A965" s="13">
        <v>70525</v>
      </c>
      <c r="B965" s="4">
        <f>66.8661 * CHOOSE(CONTROL!$C$10, $C$13, 100%, $E$13) + CHOOSE(CONTROL!$C$29, 0.0272, 0)</f>
        <v>66.893299999999996</v>
      </c>
      <c r="C965" s="4">
        <f>66.5029 * CHOOSE(CONTROL!$C$10, $C$13, 100%, $E$13) + CHOOSE(CONTROL!$C$29, 0.0272, 0)</f>
        <v>66.53009999999999</v>
      </c>
      <c r="D965" s="4">
        <f>81.7654 * CHOOSE(CONTROL!$C$10, $C$13, 100%, $E$13) + CHOOSE(CONTROL!$C$29, 0.0021, 0)</f>
        <v>81.767499999999998</v>
      </c>
      <c r="E965" s="4">
        <f>432.983968919751 * CHOOSE(CONTROL!$C$10, $C$13, 100%, $E$13) + CHOOSE(CONTROL!$C$29, 0.0021, 0)</f>
        <v>432.98606891975101</v>
      </c>
    </row>
    <row r="966" spans="1:5" ht="15">
      <c r="A966" s="13">
        <v>70553</v>
      </c>
      <c r="B966" s="4">
        <f>68.4354 * CHOOSE(CONTROL!$C$10, $C$13, 100%, $E$13) + CHOOSE(CONTROL!$C$29, 0.0272, 0)</f>
        <v>68.462599999999995</v>
      </c>
      <c r="C966" s="4">
        <f>68.0722 * CHOOSE(CONTROL!$C$10, $C$13, 100%, $E$13) + CHOOSE(CONTROL!$C$29, 0.0272, 0)</f>
        <v>68.099399999999989</v>
      </c>
      <c r="D966" s="4">
        <f>84.5858 * CHOOSE(CONTROL!$C$10, $C$13, 100%, $E$13) + CHOOSE(CONTROL!$C$29, 0.0021, 0)</f>
        <v>84.587900000000005</v>
      </c>
      <c r="E966" s="4">
        <f>443.264714692516 * CHOOSE(CONTROL!$C$10, $C$13, 100%, $E$13) + CHOOSE(CONTROL!$C$29, 0.0021, 0)</f>
        <v>443.26681469251599</v>
      </c>
    </row>
    <row r="967" spans="1:5" ht="15">
      <c r="A967" s="13">
        <v>70584</v>
      </c>
      <c r="B967" s="4">
        <f>72.5565 * CHOOSE(CONTROL!$C$10, $C$13, 100%, $E$13) + CHOOSE(CONTROL!$C$29, 0.0272, 0)</f>
        <v>72.583699999999993</v>
      </c>
      <c r="C967" s="4">
        <f>72.1932 * CHOOSE(CONTROL!$C$10, $C$13, 100%, $E$13) + CHOOSE(CONTROL!$C$29, 0.0272, 0)</f>
        <v>72.220399999999998</v>
      </c>
      <c r="D967" s="4">
        <f>89.001 * CHOOSE(CONTROL!$C$10, $C$13, 100%, $E$13) + CHOOSE(CONTROL!$C$29, 0.0021, 0)</f>
        <v>89.003100000000003</v>
      </c>
      <c r="E967" s="4">
        <f>470.26249944381 * CHOOSE(CONTROL!$C$10, $C$13, 100%, $E$13) + CHOOSE(CONTROL!$C$29, 0.0021, 0)</f>
        <v>470.26459944380997</v>
      </c>
    </row>
    <row r="968" spans="1:5" ht="15">
      <c r="A968" s="13">
        <v>70614</v>
      </c>
      <c r="B968" s="4">
        <f>75.4846 * CHOOSE(CONTROL!$C$10, $C$13, 100%, $E$13) + CHOOSE(CONTROL!$C$29, 0.0272, 0)</f>
        <v>75.511799999999994</v>
      </c>
      <c r="C968" s="4">
        <f>75.1213 * CHOOSE(CONTROL!$C$10, $C$13, 100%, $E$13) + CHOOSE(CONTROL!$C$29, 0.0272, 0)</f>
        <v>75.148499999999999</v>
      </c>
      <c r="D968" s="4">
        <f>91.5444 * CHOOSE(CONTROL!$C$10, $C$13, 100%, $E$13) + CHOOSE(CONTROL!$C$29, 0.0021, 0)</f>
        <v>91.546499999999995</v>
      </c>
      <c r="E968" s="4">
        <f>489.444785302392 * CHOOSE(CONTROL!$C$10, $C$13, 100%, $E$13) + CHOOSE(CONTROL!$C$29, 0.0021, 0)</f>
        <v>489.44688530239199</v>
      </c>
    </row>
    <row r="969" spans="1:5" ht="15">
      <c r="A969" s="13">
        <v>70645</v>
      </c>
      <c r="B969" s="4">
        <f>77.2736 * CHOOSE(CONTROL!$C$10, $C$13, 100%, $E$13) + CHOOSE(CONTROL!$C$29, 0.0272, 0)</f>
        <v>77.300799999999995</v>
      </c>
      <c r="C969" s="4">
        <f>76.9103 * CHOOSE(CONTROL!$C$10, $C$13, 100%, $E$13) + CHOOSE(CONTROL!$C$29, 0.0272, 0)</f>
        <v>76.9375</v>
      </c>
      <c r="D969" s="4">
        <f>90.5394 * CHOOSE(CONTROL!$C$10, $C$13, 100%, $E$13) + CHOOSE(CONTROL!$C$29, 0.0021, 0)</f>
        <v>90.541499999999999</v>
      </c>
      <c r="E969" s="4">
        <f>501.164702226757 * CHOOSE(CONTROL!$C$10, $C$13, 100%, $E$13) + CHOOSE(CONTROL!$C$29, 0.0021, 0)</f>
        <v>501.166802226757</v>
      </c>
    </row>
    <row r="970" spans="1:5" ht="15">
      <c r="A970" s="13">
        <v>70675</v>
      </c>
      <c r="B970" s="4">
        <f>77.5156 * CHOOSE(CONTROL!$C$10, $C$13, 100%, $E$13) + CHOOSE(CONTROL!$C$29, 0.0272, 0)</f>
        <v>77.5428</v>
      </c>
      <c r="C970" s="4">
        <f>77.1523 * CHOOSE(CONTROL!$C$10, $C$13, 100%, $E$13) + CHOOSE(CONTROL!$C$29, 0.0272, 0)</f>
        <v>77.17949999999999</v>
      </c>
      <c r="D970" s="4">
        <f>91.3578 * CHOOSE(CONTROL!$C$10, $C$13, 100%, $E$13) + CHOOSE(CONTROL!$C$29, 0.0021, 0)</f>
        <v>91.359899999999996</v>
      </c>
      <c r="E970" s="4">
        <f>502.750455625278 * CHOOSE(CONTROL!$C$10, $C$13, 100%, $E$13) + CHOOSE(CONTROL!$C$29, 0.0021, 0)</f>
        <v>502.75255562527798</v>
      </c>
    </row>
    <row r="971" spans="1:5" ht="15">
      <c r="A971" s="13">
        <v>70706</v>
      </c>
      <c r="B971" s="4">
        <f>77.4912 * CHOOSE(CONTROL!$C$10, $C$13, 100%, $E$13) + CHOOSE(CONTROL!$C$29, 0.0272, 0)</f>
        <v>77.5184</v>
      </c>
      <c r="C971" s="4">
        <f>77.1279 * CHOOSE(CONTROL!$C$10, $C$13, 100%, $E$13) + CHOOSE(CONTROL!$C$29, 0.0272, 0)</f>
        <v>77.15509999999999</v>
      </c>
      <c r="D971" s="4">
        <f>92.8347 * CHOOSE(CONTROL!$C$10, $C$13, 100%, $E$13) + CHOOSE(CONTROL!$C$29, 0.0021, 0)</f>
        <v>92.836799999999997</v>
      </c>
      <c r="E971" s="4">
        <f>502.590547719545 * CHOOSE(CONTROL!$C$10, $C$13, 100%, $E$13) + CHOOSE(CONTROL!$C$29, 0.0021, 0)</f>
        <v>502.59264771954497</v>
      </c>
    </row>
    <row r="972" spans="1:5" ht="15">
      <c r="A972" s="13">
        <v>70737</v>
      </c>
      <c r="B972" s="4">
        <f>79.328 * CHOOSE(CONTROL!$C$10, $C$13, 100%, $E$13) + CHOOSE(CONTROL!$C$29, 0.0272, 0)</f>
        <v>79.355199999999996</v>
      </c>
      <c r="C972" s="4">
        <f>78.9647 * CHOOSE(CONTROL!$C$10, $C$13, 100%, $E$13) + CHOOSE(CONTROL!$C$29, 0.0272, 0)</f>
        <v>78.991899999999987</v>
      </c>
      <c r="D972" s="4">
        <f>91.8594 * CHOOSE(CONTROL!$C$10, $C$13, 100%, $E$13) + CHOOSE(CONTROL!$C$29, 0.0021, 0)</f>
        <v>91.861499999999992</v>
      </c>
      <c r="E972" s="4">
        <f>514.623617625971 * CHOOSE(CONTROL!$C$10, $C$13, 100%, $E$13) + CHOOSE(CONTROL!$C$29, 0.0021, 0)</f>
        <v>514.62571762597099</v>
      </c>
    </row>
    <row r="973" spans="1:5" ht="15">
      <c r="A973" s="13">
        <v>70767</v>
      </c>
      <c r="B973" s="4">
        <f>76.1975 * CHOOSE(CONTROL!$C$10, $C$13, 100%, $E$13) + CHOOSE(CONTROL!$C$29, 0.0272, 0)</f>
        <v>76.224699999999999</v>
      </c>
      <c r="C973" s="4">
        <f>75.8342 * CHOOSE(CONTROL!$C$10, $C$13, 100%, $E$13) + CHOOSE(CONTROL!$C$29, 0.0272, 0)</f>
        <v>75.861399999999989</v>
      </c>
      <c r="D973" s="4">
        <f>91.3986 * CHOOSE(CONTROL!$C$10, $C$13, 100%, $E$13) + CHOOSE(CONTROL!$C$29, 0.0021, 0)</f>
        <v>91.400700000000001</v>
      </c>
      <c r="E973" s="4">
        <f>494.115428715684 * CHOOSE(CONTROL!$C$10, $C$13, 100%, $E$13) + CHOOSE(CONTROL!$C$29, 0.0021, 0)</f>
        <v>494.11752871568399</v>
      </c>
    </row>
    <row r="974" spans="1:5" ht="15">
      <c r="A974" s="13">
        <v>70798</v>
      </c>
      <c r="B974" s="4">
        <f>73.6915 * CHOOSE(CONTROL!$C$10, $C$13, 100%, $E$13) + CHOOSE(CONTROL!$C$29, 0.0272, 0)</f>
        <v>73.718699999999998</v>
      </c>
      <c r="C974" s="4">
        <f>73.3282 * CHOOSE(CONTROL!$C$10, $C$13, 100%, $E$13) + CHOOSE(CONTROL!$C$29, 0.0272, 0)</f>
        <v>73.355399999999989</v>
      </c>
      <c r="D974" s="4">
        <f>90.1647 * CHOOSE(CONTROL!$C$10, $C$13, 100%, $E$13) + CHOOSE(CONTROL!$C$29, 0.0021, 0)</f>
        <v>90.166799999999995</v>
      </c>
      <c r="E974" s="4">
        <f>477.698217060405 * CHOOSE(CONTROL!$C$10, $C$13, 100%, $E$13) + CHOOSE(CONTROL!$C$29, 0.0021, 0)</f>
        <v>477.70031706040498</v>
      </c>
    </row>
    <row r="975" spans="1:5" ht="15">
      <c r="A975" s="13">
        <v>70828</v>
      </c>
      <c r="B975" s="4">
        <f>72.0775 * CHOOSE(CONTROL!$C$10, $C$13, 100%, $E$13) + CHOOSE(CONTROL!$C$29, 0.0272, 0)</f>
        <v>72.104699999999994</v>
      </c>
      <c r="C975" s="4">
        <f>71.7142 * CHOOSE(CONTROL!$C$10, $C$13, 100%, $E$13) + CHOOSE(CONTROL!$C$29, 0.0272, 0)</f>
        <v>71.741399999999999</v>
      </c>
      <c r="D975" s="4">
        <f>89.7405 * CHOOSE(CONTROL!$C$10, $C$13, 100%, $E$13) + CHOOSE(CONTROL!$C$29, 0.0021, 0)</f>
        <v>89.742599999999996</v>
      </c>
      <c r="E975" s="4">
        <f>467.124306793795 * CHOOSE(CONTROL!$C$10, $C$13, 100%, $E$13) + CHOOSE(CONTROL!$C$29, 0.0021, 0)</f>
        <v>467.12640679379496</v>
      </c>
    </row>
    <row r="976" spans="1:5" ht="15">
      <c r="A976" s="13">
        <v>70859</v>
      </c>
      <c r="B976" s="4">
        <f>70.9608 * CHOOSE(CONTROL!$C$10, $C$13, 100%, $E$13) + CHOOSE(CONTROL!$C$29, 0.0272, 0)</f>
        <v>70.988</v>
      </c>
      <c r="C976" s="4">
        <f>70.5975 * CHOOSE(CONTROL!$C$10, $C$13, 100%, $E$13) + CHOOSE(CONTROL!$C$29, 0.0272, 0)</f>
        <v>70.62469999999999</v>
      </c>
      <c r="D976" s="4">
        <f>86.6175 * CHOOSE(CONTROL!$C$10, $C$13, 100%, $E$13) + CHOOSE(CONTROL!$C$29, 0.0021, 0)</f>
        <v>86.619600000000005</v>
      </c>
      <c r="E976" s="4">
        <f>459.8085201065 * CHOOSE(CONTROL!$C$10, $C$13, 100%, $E$13) + CHOOSE(CONTROL!$C$29, 0.0021, 0)</f>
        <v>459.81062010649998</v>
      </c>
    </row>
    <row r="977" spans="1:5" ht="15">
      <c r="A977" s="13">
        <v>70890</v>
      </c>
      <c r="B977" s="4">
        <f>68.0339 * CHOOSE(CONTROL!$C$10, $C$13, 100%, $E$13) + CHOOSE(CONTROL!$C$29, 0.0272, 0)</f>
        <v>68.061099999999996</v>
      </c>
      <c r="C977" s="4">
        <f>67.6706 * CHOOSE(CONTROL!$C$10, $C$13, 100%, $E$13) + CHOOSE(CONTROL!$C$29, 0.0272, 0)</f>
        <v>67.697799999999987</v>
      </c>
      <c r="D977" s="4">
        <f>83.022 * CHOOSE(CONTROL!$C$10, $C$13, 100%, $E$13) + CHOOSE(CONTROL!$C$29, 0.0021, 0)</f>
        <v>83.024100000000004</v>
      </c>
      <c r="E977" s="4">
        <f>440.65562685347 * CHOOSE(CONTROL!$C$10, $C$13, 100%, $E$13) + CHOOSE(CONTROL!$C$29, 0.0021, 0)</f>
        <v>440.65772685346997</v>
      </c>
    </row>
    <row r="978" spans="1:5" ht="15">
      <c r="A978" s="13">
        <v>70918</v>
      </c>
      <c r="B978" s="4">
        <f>69.6309 * CHOOSE(CONTROL!$C$10, $C$13, 100%, $E$13) + CHOOSE(CONTROL!$C$29, 0.0272, 0)</f>
        <v>69.65809999999999</v>
      </c>
      <c r="C978" s="4">
        <f>69.2676 * CHOOSE(CONTROL!$C$10, $C$13, 100%, $E$13) + CHOOSE(CONTROL!$C$29, 0.0272, 0)</f>
        <v>69.294799999999995</v>
      </c>
      <c r="D978" s="4">
        <f>85.8868 * CHOOSE(CONTROL!$C$10, $C$13, 100%, $E$13) + CHOOSE(CONTROL!$C$29, 0.0021, 0)</f>
        <v>85.888899999999992</v>
      </c>
      <c r="E978" s="4">
        <f>451.118528018892 * CHOOSE(CONTROL!$C$10, $C$13, 100%, $E$13) + CHOOSE(CONTROL!$C$29, 0.0021, 0)</f>
        <v>451.12062801889198</v>
      </c>
    </row>
    <row r="979" spans="1:5" ht="15">
      <c r="A979" s="13">
        <v>70949</v>
      </c>
      <c r="B979" s="4">
        <f>73.8248 * CHOOSE(CONTROL!$C$10, $C$13, 100%, $E$13) + CHOOSE(CONTROL!$C$29, 0.0272, 0)</f>
        <v>73.85199999999999</v>
      </c>
      <c r="C979" s="4">
        <f>73.4615 * CHOOSE(CONTROL!$C$10, $C$13, 100%, $E$13) + CHOOSE(CONTROL!$C$29, 0.0272, 0)</f>
        <v>73.488699999999994</v>
      </c>
      <c r="D979" s="4">
        <f>90.3715 * CHOOSE(CONTROL!$C$10, $C$13, 100%, $E$13) + CHOOSE(CONTROL!$C$29, 0.0021, 0)</f>
        <v>90.373599999999996</v>
      </c>
      <c r="E979" s="4">
        <f>478.594662511625 * CHOOSE(CONTROL!$C$10, $C$13, 100%, $E$13) + CHOOSE(CONTROL!$C$29, 0.0021, 0)</f>
        <v>478.596762511625</v>
      </c>
    </row>
    <row r="980" spans="1:5" ht="15">
      <c r="A980" s="13">
        <v>70979</v>
      </c>
      <c r="B980" s="4">
        <f>76.8046 * CHOOSE(CONTROL!$C$10, $C$13, 100%, $E$13) + CHOOSE(CONTROL!$C$29, 0.0272, 0)</f>
        <v>76.831799999999987</v>
      </c>
      <c r="C980" s="4">
        <f>76.4413 * CHOOSE(CONTROL!$C$10, $C$13, 100%, $E$13) + CHOOSE(CONTROL!$C$29, 0.0272, 0)</f>
        <v>76.468499999999992</v>
      </c>
      <c r="D980" s="4">
        <f>92.9548 * CHOOSE(CONTROL!$C$10, $C$13, 100%, $E$13) + CHOOSE(CONTROL!$C$29, 0.0021, 0)</f>
        <v>92.956900000000005</v>
      </c>
      <c r="E980" s="4">
        <f>498.116822236348 * CHOOSE(CONTROL!$C$10, $C$13, 100%, $E$13) + CHOOSE(CONTROL!$C$29, 0.0021, 0)</f>
        <v>498.118922236348</v>
      </c>
    </row>
    <row r="981" spans="1:5" ht="15">
      <c r="A981" s="13">
        <v>71010</v>
      </c>
      <c r="B981" s="4">
        <f>78.6252 * CHOOSE(CONTROL!$C$10, $C$13, 100%, $E$13) + CHOOSE(CONTROL!$C$29, 0.0272, 0)</f>
        <v>78.6524</v>
      </c>
      <c r="C981" s="4">
        <f>78.2619 * CHOOSE(CONTROL!$C$10, $C$13, 100%, $E$13) + CHOOSE(CONTROL!$C$29, 0.0272, 0)</f>
        <v>78.289099999999991</v>
      </c>
      <c r="D981" s="4">
        <f>91.934 * CHOOSE(CONTROL!$C$10, $C$13, 100%, $E$13) + CHOOSE(CONTROL!$C$29, 0.0021, 0)</f>
        <v>91.936099999999996</v>
      </c>
      <c r="E981" s="4">
        <f>510.044393947285 * CHOOSE(CONTROL!$C$10, $C$13, 100%, $E$13) + CHOOSE(CONTROL!$C$29, 0.0021, 0)</f>
        <v>510.046493947285</v>
      </c>
    </row>
    <row r="982" spans="1:5" ht="15">
      <c r="A982" s="13">
        <v>71040</v>
      </c>
      <c r="B982" s="4">
        <f>78.8715 * CHOOSE(CONTROL!$C$10, $C$13, 100%, $E$13) + CHOOSE(CONTROL!$C$29, 0.0272, 0)</f>
        <v>78.898699999999991</v>
      </c>
      <c r="C982" s="4">
        <f>78.5082 * CHOOSE(CONTROL!$C$10, $C$13, 100%, $E$13) + CHOOSE(CONTROL!$C$29, 0.0272, 0)</f>
        <v>78.535399999999996</v>
      </c>
      <c r="D982" s="4">
        <f>92.7653 * CHOOSE(CONTROL!$C$10, $C$13, 100%, $E$13) + CHOOSE(CONTROL!$C$29, 0.0021, 0)</f>
        <v>92.767399999999995</v>
      </c>
      <c r="E982" s="4">
        <f>511.658243900215 * CHOOSE(CONTROL!$C$10, $C$13, 100%, $E$13) + CHOOSE(CONTROL!$C$29, 0.0021, 0)</f>
        <v>511.66034390021497</v>
      </c>
    </row>
    <row r="983" spans="1:5" ht="15">
      <c r="A983" s="13">
        <v>71071</v>
      </c>
      <c r="B983" s="4">
        <f>78.8467 * CHOOSE(CONTROL!$C$10, $C$13, 100%, $E$13) + CHOOSE(CONTROL!$C$29, 0.0272, 0)</f>
        <v>78.873899999999992</v>
      </c>
      <c r="C983" s="4">
        <f>78.4834 * CHOOSE(CONTROL!$C$10, $C$13, 100%, $E$13) + CHOOSE(CONTROL!$C$29, 0.0272, 0)</f>
        <v>78.510599999999997</v>
      </c>
      <c r="D983" s="4">
        <f>94.2654 * CHOOSE(CONTROL!$C$10, $C$13, 100%, $E$13) + CHOOSE(CONTROL!$C$29, 0.0021, 0)</f>
        <v>94.267499999999998</v>
      </c>
      <c r="E983" s="4">
        <f>511.495502728491 * CHOOSE(CONTROL!$C$10, $C$13, 100%, $E$13) + CHOOSE(CONTROL!$C$29, 0.0021, 0)</f>
        <v>511.49760272849096</v>
      </c>
    </row>
    <row r="984" spans="1:5" ht="15">
      <c r="A984" s="13">
        <v>71102</v>
      </c>
      <c r="B984" s="4">
        <f>80.7159 * CHOOSE(CONTROL!$C$10, $C$13, 100%, $E$13) + CHOOSE(CONTROL!$C$29, 0.0272, 0)</f>
        <v>80.743099999999998</v>
      </c>
      <c r="C984" s="4">
        <f>80.3526 * CHOOSE(CONTROL!$C$10, $C$13, 100%, $E$13) + CHOOSE(CONTROL!$C$29, 0.0272, 0)</f>
        <v>80.379799999999989</v>
      </c>
      <c r="D984" s="4">
        <f>93.2747 * CHOOSE(CONTROL!$C$10, $C$13, 100%, $E$13) + CHOOSE(CONTROL!$C$29, 0.0021, 0)</f>
        <v>93.276799999999994</v>
      </c>
      <c r="E984" s="4">
        <f>523.741775900721 * CHOOSE(CONTROL!$C$10, $C$13, 100%, $E$13) + CHOOSE(CONTROL!$C$29, 0.0021, 0)</f>
        <v>523.74387590072104</v>
      </c>
    </row>
    <row r="985" spans="1:5" ht="15">
      <c r="A985" s="13">
        <v>71132</v>
      </c>
      <c r="B985" s="4">
        <f>77.5301 * CHOOSE(CONTROL!$C$10, $C$13, 100%, $E$13) + CHOOSE(CONTROL!$C$29, 0.0272, 0)</f>
        <v>77.557299999999998</v>
      </c>
      <c r="C985" s="4">
        <f>77.1669 * CHOOSE(CONTROL!$C$10, $C$13, 100%, $E$13) + CHOOSE(CONTROL!$C$29, 0.0272, 0)</f>
        <v>77.194099999999992</v>
      </c>
      <c r="D985" s="4">
        <f>92.8067 * CHOOSE(CONTROL!$C$10, $C$13, 100%, $E$13) + CHOOSE(CONTROL!$C$29, 0.0021, 0)</f>
        <v>92.808800000000005</v>
      </c>
      <c r="E985" s="4">
        <f>502.87022062712 * CHOOSE(CONTROL!$C$10, $C$13, 100%, $E$13) + CHOOSE(CONTROL!$C$29, 0.0021, 0)</f>
        <v>502.87232062711996</v>
      </c>
    </row>
    <row r="986" spans="1:5" ht="15">
      <c r="A986" s="13">
        <v>71163</v>
      </c>
      <c r="B986" s="4">
        <f>74.9799 * CHOOSE(CONTROL!$C$10, $C$13, 100%, $E$13) + CHOOSE(CONTROL!$C$29, 0.0272, 0)</f>
        <v>75.007099999999994</v>
      </c>
      <c r="C986" s="4">
        <f>74.6166 * CHOOSE(CONTROL!$C$10, $C$13, 100%, $E$13) + CHOOSE(CONTROL!$C$29, 0.0272, 0)</f>
        <v>74.643799999999999</v>
      </c>
      <c r="D986" s="4">
        <f>91.5534 * CHOOSE(CONTROL!$C$10, $C$13, 100%, $E$13) + CHOOSE(CONTROL!$C$29, 0.0021, 0)</f>
        <v>91.555499999999995</v>
      </c>
      <c r="E986" s="4">
        <f>486.16212699679 * CHOOSE(CONTROL!$C$10, $C$13, 100%, $E$13) + CHOOSE(CONTROL!$C$29, 0.0021, 0)</f>
        <v>486.16422699678998</v>
      </c>
    </row>
    <row r="987" spans="1:5" ht="15">
      <c r="A987" s="13">
        <v>71193</v>
      </c>
      <c r="B987" s="4">
        <f>73.3373 * CHOOSE(CONTROL!$C$10, $C$13, 100%, $E$13) + CHOOSE(CONTROL!$C$29, 0.0272, 0)</f>
        <v>73.364499999999992</v>
      </c>
      <c r="C987" s="4">
        <f>72.974 * CHOOSE(CONTROL!$C$10, $C$13, 100%, $E$13) + CHOOSE(CONTROL!$C$29, 0.0272, 0)</f>
        <v>73.001199999999997</v>
      </c>
      <c r="D987" s="4">
        <f>91.1226 * CHOOSE(CONTROL!$C$10, $C$13, 100%, $E$13) + CHOOSE(CONTROL!$C$29, 0.0021, 0)</f>
        <v>91.124700000000004</v>
      </c>
      <c r="E987" s="4">
        <f>475.400867016542 * CHOOSE(CONTROL!$C$10, $C$13, 100%, $E$13) + CHOOSE(CONTROL!$C$29, 0.0021, 0)</f>
        <v>475.40296701654199</v>
      </c>
    </row>
    <row r="988" spans="1:5" ht="15">
      <c r="A988" s="13">
        <v>71224</v>
      </c>
      <c r="B988" s="4">
        <f>72.2009 * CHOOSE(CONTROL!$C$10, $C$13, 100%, $E$13) + CHOOSE(CONTROL!$C$29, 0.0272, 0)</f>
        <v>72.228099999999998</v>
      </c>
      <c r="C988" s="4">
        <f>71.8376 * CHOOSE(CONTROL!$C$10, $C$13, 100%, $E$13) + CHOOSE(CONTROL!$C$29, 0.0272, 0)</f>
        <v>71.864799999999988</v>
      </c>
      <c r="D988" s="4">
        <f>87.9505 * CHOOSE(CONTROL!$C$10, $C$13, 100%, $E$13) + CHOOSE(CONTROL!$C$29, 0.0021, 0)</f>
        <v>87.952600000000004</v>
      </c>
      <c r="E988" s="4">
        <f>467.955458410169 * CHOOSE(CONTROL!$C$10, $C$13, 100%, $E$13) + CHOOSE(CONTROL!$C$29, 0.0021, 0)</f>
        <v>467.95755841016899</v>
      </c>
    </row>
    <row r="989" spans="1:5" ht="15">
      <c r="A989" s="13">
        <v>71255</v>
      </c>
      <c r="B989" s="4">
        <f>69.2223 * CHOOSE(CONTROL!$C$10, $C$13, 100%, $E$13) + CHOOSE(CONTROL!$C$29, 0.0272, 0)</f>
        <v>69.249499999999998</v>
      </c>
      <c r="C989" s="4">
        <f>68.859 * CHOOSE(CONTROL!$C$10, $C$13, 100%, $E$13) + CHOOSE(CONTROL!$C$29, 0.0272, 0)</f>
        <v>68.886199999999988</v>
      </c>
      <c r="D989" s="4">
        <f>84.2984 * CHOOSE(CONTROL!$C$10, $C$13, 100%, $E$13) + CHOOSE(CONTROL!$C$29, 0.0021, 0)</f>
        <v>84.3005</v>
      </c>
      <c r="E989" s="4">
        <f>448.46321207244 * CHOOSE(CONTROL!$C$10, $C$13, 100%, $E$13) + CHOOSE(CONTROL!$C$29, 0.0021, 0)</f>
        <v>448.46531207243999</v>
      </c>
    </row>
    <row r="990" spans="1:5" ht="15">
      <c r="A990" s="13">
        <v>71283</v>
      </c>
      <c r="B990" s="4">
        <f>70.8475 * CHOOSE(CONTROL!$C$10, $C$13, 100%, $E$13) + CHOOSE(CONTROL!$C$29, 0.0272, 0)</f>
        <v>70.87469999999999</v>
      </c>
      <c r="C990" s="4">
        <f>70.4842 * CHOOSE(CONTROL!$C$10, $C$13, 100%, $E$13) + CHOOSE(CONTROL!$C$29, 0.0272, 0)</f>
        <v>70.511399999999995</v>
      </c>
      <c r="D990" s="4">
        <f>87.2083 * CHOOSE(CONTROL!$C$10, $C$13, 100%, $E$13) + CHOOSE(CONTROL!$C$29, 0.0021, 0)</f>
        <v>87.210399999999993</v>
      </c>
      <c r="E990" s="4">
        <f>459.111496079946 * CHOOSE(CONTROL!$C$10, $C$13, 100%, $E$13) + CHOOSE(CONTROL!$C$29, 0.0021, 0)</f>
        <v>459.11359607994598</v>
      </c>
    </row>
    <row r="991" spans="1:5" ht="15">
      <c r="A991" s="13">
        <v>71314</v>
      </c>
      <c r="B991" s="4">
        <f>75.1155 * CHOOSE(CONTROL!$C$10, $C$13, 100%, $E$13) + CHOOSE(CONTROL!$C$29, 0.0272, 0)</f>
        <v>75.142699999999991</v>
      </c>
      <c r="C991" s="4">
        <f>74.7522 * CHOOSE(CONTROL!$C$10, $C$13, 100%, $E$13) + CHOOSE(CONTROL!$C$29, 0.0272, 0)</f>
        <v>74.779399999999995</v>
      </c>
      <c r="D991" s="4">
        <f>91.7634 * CHOOSE(CONTROL!$C$10, $C$13, 100%, $E$13) + CHOOSE(CONTROL!$C$29, 0.0021, 0)</f>
        <v>91.765500000000003</v>
      </c>
      <c r="E991" s="4">
        <f>487.074455767836 * CHOOSE(CONTROL!$C$10, $C$13, 100%, $E$13) + CHOOSE(CONTROL!$C$29, 0.0021, 0)</f>
        <v>487.076555767836</v>
      </c>
    </row>
    <row r="992" spans="1:5" ht="15">
      <c r="A992" s="13">
        <v>71344</v>
      </c>
      <c r="B992" s="4">
        <f>78.1479 * CHOOSE(CONTROL!$C$10, $C$13, 100%, $E$13) + CHOOSE(CONTROL!$C$29, 0.0272, 0)</f>
        <v>78.1751</v>
      </c>
      <c r="C992" s="4">
        <f>77.7847 * CHOOSE(CONTROL!$C$10, $C$13, 100%, $E$13) + CHOOSE(CONTROL!$C$29, 0.0272, 0)</f>
        <v>77.811899999999994</v>
      </c>
      <c r="D992" s="4">
        <f>94.3873 * CHOOSE(CONTROL!$C$10, $C$13, 100%, $E$13) + CHOOSE(CONTROL!$C$29, 0.0021, 0)</f>
        <v>94.389399999999995</v>
      </c>
      <c r="E992" s="4">
        <f>506.942511281517 * CHOOSE(CONTROL!$C$10, $C$13, 100%, $E$13) + CHOOSE(CONTROL!$C$29, 0.0021, 0)</f>
        <v>506.94461128151698</v>
      </c>
    </row>
    <row r="993" spans="1:5" ht="15">
      <c r="A993" s="13">
        <v>71375</v>
      </c>
      <c r="B993" s="4">
        <f>80.0007 * CHOOSE(CONTROL!$C$10, $C$13, 100%, $E$13) + CHOOSE(CONTROL!$C$29, 0.0272, 0)</f>
        <v>80.027899999999988</v>
      </c>
      <c r="C993" s="4">
        <f>79.6374 * CHOOSE(CONTROL!$C$10, $C$13, 100%, $E$13) + CHOOSE(CONTROL!$C$29, 0.0272, 0)</f>
        <v>79.664599999999993</v>
      </c>
      <c r="D993" s="4">
        <f>93.3505 * CHOOSE(CONTROL!$C$10, $C$13, 100%, $E$13) + CHOOSE(CONTROL!$C$29, 0.0021, 0)</f>
        <v>93.352599999999995</v>
      </c>
      <c r="E993" s="4">
        <f>519.081417029542 * CHOOSE(CONTROL!$C$10, $C$13, 100%, $E$13) + CHOOSE(CONTROL!$C$29, 0.0021, 0)</f>
        <v>519.08351702954201</v>
      </c>
    </row>
    <row r="994" spans="1:5" ht="15">
      <c r="A994" s="13">
        <v>71405</v>
      </c>
      <c r="B994" s="4">
        <f>80.2514 * CHOOSE(CONTROL!$C$10, $C$13, 100%, $E$13) + CHOOSE(CONTROL!$C$29, 0.0272, 0)</f>
        <v>80.278599999999997</v>
      </c>
      <c r="C994" s="4">
        <f>79.8881 * CHOOSE(CONTROL!$C$10, $C$13, 100%, $E$13) + CHOOSE(CONTROL!$C$29, 0.0272, 0)</f>
        <v>79.915299999999988</v>
      </c>
      <c r="D994" s="4">
        <f>94.1949 * CHOOSE(CONTROL!$C$10, $C$13, 100%, $E$13) + CHOOSE(CONTROL!$C$29, 0.0021, 0)</f>
        <v>94.197000000000003</v>
      </c>
      <c r="E994" s="4">
        <f>520.723861354744 * CHOOSE(CONTROL!$C$10, $C$13, 100%, $E$13) + CHOOSE(CONTROL!$C$29, 0.0021, 0)</f>
        <v>520.72596135474407</v>
      </c>
    </row>
    <row r="995" spans="1:5" ht="15">
      <c r="A995" s="13">
        <v>71436</v>
      </c>
      <c r="B995" s="4">
        <f>80.2261 * CHOOSE(CONTROL!$C$10, $C$13, 100%, $E$13) + CHOOSE(CONTROL!$C$29, 0.0272, 0)</f>
        <v>80.253299999999996</v>
      </c>
      <c r="C995" s="4">
        <f>79.8628 * CHOOSE(CONTROL!$C$10, $C$13, 100%, $E$13) + CHOOSE(CONTROL!$C$29, 0.0272, 0)</f>
        <v>79.889999999999986</v>
      </c>
      <c r="D995" s="4">
        <f>95.7186 * CHOOSE(CONTROL!$C$10, $C$13, 100%, $E$13) + CHOOSE(CONTROL!$C$29, 0.0021, 0)</f>
        <v>95.720699999999994</v>
      </c>
      <c r="E995" s="4">
        <f>520.558236716908 * CHOOSE(CONTROL!$C$10, $C$13, 100%, $E$13) + CHOOSE(CONTROL!$C$29, 0.0021, 0)</f>
        <v>520.56033671690807</v>
      </c>
    </row>
    <row r="996" spans="1:5" ht="15">
      <c r="A996" s="13">
        <v>71467</v>
      </c>
      <c r="B996" s="4">
        <f>82.1284 * CHOOSE(CONTROL!$C$10, $C$13, 100%, $E$13) + CHOOSE(CONTROL!$C$29, 0.0272, 0)</f>
        <v>82.155599999999993</v>
      </c>
      <c r="C996" s="4">
        <f>81.7651 * CHOOSE(CONTROL!$C$10, $C$13, 100%, $E$13) + CHOOSE(CONTROL!$C$29, 0.0272, 0)</f>
        <v>81.792299999999997</v>
      </c>
      <c r="D996" s="4">
        <f>94.7124 * CHOOSE(CONTROL!$C$10, $C$13, 100%, $E$13) + CHOOSE(CONTROL!$C$29, 0.0021, 0)</f>
        <v>94.714500000000001</v>
      </c>
      <c r="E996" s="4">
        <f>533.021490714028 * CHOOSE(CONTROL!$C$10, $C$13, 100%, $E$13) + CHOOSE(CONTROL!$C$29, 0.0021, 0)</f>
        <v>533.02359071402805</v>
      </c>
    </row>
    <row r="997" spans="1:5" ht="15">
      <c r="A997" s="13">
        <v>71497</v>
      </c>
      <c r="B997" s="4">
        <f>78.8863 * CHOOSE(CONTROL!$C$10, $C$13, 100%, $E$13) + CHOOSE(CONTROL!$C$29, 0.0272, 0)</f>
        <v>78.913499999999999</v>
      </c>
      <c r="C997" s="4">
        <f>78.523 * CHOOSE(CONTROL!$C$10, $C$13, 100%, $E$13) + CHOOSE(CONTROL!$C$29, 0.0272, 0)</f>
        <v>78.55019999999999</v>
      </c>
      <c r="D997" s="4">
        <f>94.2369 * CHOOSE(CONTROL!$C$10, $C$13, 100%, $E$13) + CHOOSE(CONTROL!$C$29, 0.0021, 0)</f>
        <v>94.239000000000004</v>
      </c>
      <c r="E997" s="4">
        <f>511.780130911628 * CHOOSE(CONTROL!$C$10, $C$13, 100%, $E$13) + CHOOSE(CONTROL!$C$29, 0.0021, 0)</f>
        <v>511.78223091162801</v>
      </c>
    </row>
    <row r="998" spans="1:5" ht="15">
      <c r="A998" s="13">
        <v>71528</v>
      </c>
      <c r="B998" s="4">
        <f>76.291 * CHOOSE(CONTROL!$C$10, $C$13, 100%, $E$13) + CHOOSE(CONTROL!$C$29, 0.0272, 0)</f>
        <v>76.31819999999999</v>
      </c>
      <c r="C998" s="4">
        <f>75.9277 * CHOOSE(CONTROL!$C$10, $C$13, 100%, $E$13) + CHOOSE(CONTROL!$C$29, 0.0272, 0)</f>
        <v>75.954899999999995</v>
      </c>
      <c r="D998" s="4">
        <f>92.964 * CHOOSE(CONTROL!$C$10, $C$13, 100%, $E$13) + CHOOSE(CONTROL!$C$29, 0.0021, 0)</f>
        <v>92.966099999999997</v>
      </c>
      <c r="E998" s="4">
        <f>494.776001427186 * CHOOSE(CONTROL!$C$10, $C$13, 100%, $E$13) + CHOOSE(CONTROL!$C$29, 0.0021, 0)</f>
        <v>494.77810142718596</v>
      </c>
    </row>
    <row r="999" spans="1:5" ht="15">
      <c r="A999" s="13">
        <v>71558</v>
      </c>
      <c r="B999" s="4">
        <f>74.6194 * CHOOSE(CONTROL!$C$10, $C$13, 100%, $E$13) + CHOOSE(CONTROL!$C$29, 0.0272, 0)</f>
        <v>74.646599999999992</v>
      </c>
      <c r="C999" s="4">
        <f>74.2561 * CHOOSE(CONTROL!$C$10, $C$13, 100%, $E$13) + CHOOSE(CONTROL!$C$29, 0.0272, 0)</f>
        <v>74.283299999999997</v>
      </c>
      <c r="D999" s="4">
        <f>92.5263 * CHOOSE(CONTROL!$C$10, $C$13, 100%, $E$13) + CHOOSE(CONTROL!$C$29, 0.0021, 0)</f>
        <v>92.528400000000005</v>
      </c>
      <c r="E999" s="4">
        <f>483.824072250314 * CHOOSE(CONTROL!$C$10, $C$13, 100%, $E$13) + CHOOSE(CONTROL!$C$29, 0.0021, 0)</f>
        <v>483.82617225031396</v>
      </c>
    </row>
    <row r="1000" spans="1:5" ht="15">
      <c r="A1000" s="13">
        <v>71589</v>
      </c>
      <c r="B1000" s="4">
        <f>73.4629 * CHOOSE(CONTROL!$C$10, $C$13, 100%, $E$13) + CHOOSE(CONTROL!$C$29, 0.0272, 0)</f>
        <v>73.490099999999998</v>
      </c>
      <c r="C1000" s="4">
        <f>73.0996 * CHOOSE(CONTROL!$C$10, $C$13, 100%, $E$13) + CHOOSE(CONTROL!$C$29, 0.0272, 0)</f>
        <v>73.126799999999989</v>
      </c>
      <c r="D1000" s="4">
        <f>89.3043 * CHOOSE(CONTROL!$C$10, $C$13, 100%, $E$13) + CHOOSE(CONTROL!$C$29, 0.0021, 0)</f>
        <v>89.306399999999996</v>
      </c>
      <c r="E1000" s="4">
        <f>476.246745069341 * CHOOSE(CONTROL!$C$10, $C$13, 100%, $E$13) + CHOOSE(CONTROL!$C$29, 0.0021, 0)</f>
        <v>476.24884506934097</v>
      </c>
    </row>
    <row r="1001" spans="1:5" ht="15">
      <c r="A1001" s="13">
        <v>71620</v>
      </c>
      <c r="B1001" s="4">
        <f>70.4316 * CHOOSE(CONTROL!$C$10, $C$13, 100%, $E$13) + CHOOSE(CONTROL!$C$29, 0.0272, 0)</f>
        <v>70.458799999999997</v>
      </c>
      <c r="C1001" s="4">
        <f>70.0683 * CHOOSE(CONTROL!$C$10, $C$13, 100%, $E$13) + CHOOSE(CONTROL!$C$29, 0.0272, 0)</f>
        <v>70.095499999999987</v>
      </c>
      <c r="D1001" s="4">
        <f>85.5949 * CHOOSE(CONTROL!$C$10, $C$13, 100%, $E$13) + CHOOSE(CONTROL!$C$29, 0.0021, 0)</f>
        <v>85.596999999999994</v>
      </c>
      <c r="E1001" s="4">
        <f>456.409132951359 * CHOOSE(CONTROL!$C$10, $C$13, 100%, $E$13) + CHOOSE(CONTROL!$C$29, 0.0021, 0)</f>
        <v>456.41123295135901</v>
      </c>
    </row>
    <row r="1002" spans="1:5" ht="15">
      <c r="A1002" s="13">
        <v>71649</v>
      </c>
      <c r="B1002" s="4">
        <f>72.0856 * CHOOSE(CONTROL!$C$10, $C$13, 100%, $E$13) + CHOOSE(CONTROL!$C$29, 0.0272, 0)</f>
        <v>72.112799999999993</v>
      </c>
      <c r="C1002" s="4">
        <f>71.7223 * CHOOSE(CONTROL!$C$10, $C$13, 100%, $E$13) + CHOOSE(CONTROL!$C$29, 0.0272, 0)</f>
        <v>71.749499999999998</v>
      </c>
      <c r="D1002" s="4">
        <f>88.5505 * CHOOSE(CONTROL!$C$10, $C$13, 100%, $E$13) + CHOOSE(CONTROL!$C$29, 0.0021, 0)</f>
        <v>88.552599999999998</v>
      </c>
      <c r="E1002" s="4">
        <f>467.246084434686 * CHOOSE(CONTROL!$C$10, $C$13, 100%, $E$13) + CHOOSE(CONTROL!$C$29, 0.0021, 0)</f>
        <v>467.24818443468598</v>
      </c>
    </row>
    <row r="1003" spans="1:5" ht="15">
      <c r="A1003" s="13">
        <v>71680</v>
      </c>
      <c r="B1003" s="4">
        <f>76.429 * CHOOSE(CONTROL!$C$10, $C$13, 100%, $E$13) + CHOOSE(CONTROL!$C$29, 0.0272, 0)</f>
        <v>76.456199999999995</v>
      </c>
      <c r="C1003" s="4">
        <f>76.0657 * CHOOSE(CONTROL!$C$10, $C$13, 100%, $E$13) + CHOOSE(CONTROL!$C$29, 0.0272, 0)</f>
        <v>76.0929</v>
      </c>
      <c r="D1003" s="4">
        <f>93.1773 * CHOOSE(CONTROL!$C$10, $C$13, 100%, $E$13) + CHOOSE(CONTROL!$C$29, 0.0021, 0)</f>
        <v>93.179400000000001</v>
      </c>
      <c r="E1003" s="4">
        <f>495.704494940478 * CHOOSE(CONTROL!$C$10, $C$13, 100%, $E$13) + CHOOSE(CONTROL!$C$29, 0.0021, 0)</f>
        <v>495.706594940478</v>
      </c>
    </row>
    <row r="1004" spans="1:5" ht="15">
      <c r="A1004" s="13">
        <v>71710</v>
      </c>
      <c r="B1004" s="4">
        <f>79.515 * CHOOSE(CONTROL!$C$10, $C$13, 100%, $E$13) + CHOOSE(CONTROL!$C$29, 0.0272, 0)</f>
        <v>79.542199999999994</v>
      </c>
      <c r="C1004" s="4">
        <f>79.1517 * CHOOSE(CONTROL!$C$10, $C$13, 100%, $E$13) + CHOOSE(CONTROL!$C$29, 0.0272, 0)</f>
        <v>79.178899999999999</v>
      </c>
      <c r="D1004" s="4">
        <f>95.8425 * CHOOSE(CONTROL!$C$10, $C$13, 100%, $E$13) + CHOOSE(CONTROL!$C$29, 0.0021, 0)</f>
        <v>95.8446</v>
      </c>
      <c r="E1004" s="4">
        <f>515.924574863029 * CHOOSE(CONTROL!$C$10, $C$13, 100%, $E$13) + CHOOSE(CONTROL!$C$29, 0.0021, 0)</f>
        <v>515.92667486302901</v>
      </c>
    </row>
    <row r="1005" spans="1:5" ht="15">
      <c r="A1005" s="13">
        <v>71741</v>
      </c>
      <c r="B1005" s="4">
        <f>81.4005 * CHOOSE(CONTROL!$C$10, $C$13, 100%, $E$13) + CHOOSE(CONTROL!$C$29, 0.0272, 0)</f>
        <v>81.427699999999987</v>
      </c>
      <c r="C1005" s="4">
        <f>81.0372 * CHOOSE(CONTROL!$C$10, $C$13, 100%, $E$13) + CHOOSE(CONTROL!$C$29, 0.0272, 0)</f>
        <v>81.064399999999992</v>
      </c>
      <c r="D1005" s="4">
        <f>94.7893 * CHOOSE(CONTROL!$C$10, $C$13, 100%, $E$13) + CHOOSE(CONTROL!$C$29, 0.0021, 0)</f>
        <v>94.791399999999996</v>
      </c>
      <c r="E1005" s="4">
        <f>528.278559088026 * CHOOSE(CONTROL!$C$10, $C$13, 100%, $E$13) + CHOOSE(CONTROL!$C$29, 0.0021, 0)</f>
        <v>528.28065908802603</v>
      </c>
    </row>
    <row r="1006" spans="1:5" ht="15">
      <c r="A1006" s="13">
        <v>71771</v>
      </c>
      <c r="B1006" s="4">
        <f>81.6556 * CHOOSE(CONTROL!$C$10, $C$13, 100%, $E$13) + CHOOSE(CONTROL!$C$29, 0.0272, 0)</f>
        <v>81.6828</v>
      </c>
      <c r="C1006" s="4">
        <f>81.2923 * CHOOSE(CONTROL!$C$10, $C$13, 100%, $E$13) + CHOOSE(CONTROL!$C$29, 0.0272, 0)</f>
        <v>81.319499999999991</v>
      </c>
      <c r="D1006" s="4">
        <f>95.647 * CHOOSE(CONTROL!$C$10, $C$13, 100%, $E$13) + CHOOSE(CONTROL!$C$29, 0.0021, 0)</f>
        <v>95.649100000000004</v>
      </c>
      <c r="E1006" s="4">
        <f>529.950104423756 * CHOOSE(CONTROL!$C$10, $C$13, 100%, $E$13) + CHOOSE(CONTROL!$C$29, 0.0021, 0)</f>
        <v>529.95220442375603</v>
      </c>
    </row>
    <row r="1007" spans="1:5" ht="15">
      <c r="A1007" s="13">
        <v>71802</v>
      </c>
      <c r="B1007" s="4">
        <f>81.6299 * CHOOSE(CONTROL!$C$10, $C$13, 100%, $E$13) + CHOOSE(CONTROL!$C$29, 0.0272, 0)</f>
        <v>81.6571</v>
      </c>
      <c r="C1007" s="4">
        <f>81.2666 * CHOOSE(CONTROL!$C$10, $C$13, 100%, $E$13) + CHOOSE(CONTROL!$C$29, 0.0272, 0)</f>
        <v>81.29379999999999</v>
      </c>
      <c r="D1007" s="4">
        <f>97.1946 * CHOOSE(CONTROL!$C$10, $C$13, 100%, $E$13) + CHOOSE(CONTROL!$C$29, 0.0021, 0)</f>
        <v>97.196699999999993</v>
      </c>
      <c r="E1007" s="4">
        <f>529.781545230237 * CHOOSE(CONTROL!$C$10, $C$13, 100%, $E$13) + CHOOSE(CONTROL!$C$29, 0.0021, 0)</f>
        <v>529.78364523023708</v>
      </c>
    </row>
    <row r="1008" spans="1:5" ht="15">
      <c r="A1008" s="13">
        <v>71833</v>
      </c>
      <c r="B1008" s="4">
        <f>83.5658 * CHOOSE(CONTROL!$C$10, $C$13, 100%, $E$13) + CHOOSE(CONTROL!$C$29, 0.0272, 0)</f>
        <v>83.592999999999989</v>
      </c>
      <c r="C1008" s="4">
        <f>83.2025 * CHOOSE(CONTROL!$C$10, $C$13, 100%, $E$13) + CHOOSE(CONTROL!$C$29, 0.0272, 0)</f>
        <v>83.229699999999994</v>
      </c>
      <c r="D1008" s="4">
        <f>96.1726 * CHOOSE(CONTROL!$C$10, $C$13, 100%, $E$13) + CHOOSE(CONTROL!$C$29, 0.0021, 0)</f>
        <v>96.174700000000001</v>
      </c>
      <c r="E1008" s="4">
        <f>542.465624542542 * CHOOSE(CONTROL!$C$10, $C$13, 100%, $E$13) + CHOOSE(CONTROL!$C$29, 0.0021, 0)</f>
        <v>542.46772454254199</v>
      </c>
    </row>
    <row r="1009" spans="1:5" ht="15">
      <c r="A1009" s="13">
        <v>71863</v>
      </c>
      <c r="B1009" s="4">
        <f>80.2664 * CHOOSE(CONTROL!$C$10, $C$13, 100%, $E$13) + CHOOSE(CONTROL!$C$29, 0.0272, 0)</f>
        <v>80.293599999999998</v>
      </c>
      <c r="C1009" s="4">
        <f>79.9031 * CHOOSE(CONTROL!$C$10, $C$13, 100%, $E$13) + CHOOSE(CONTROL!$C$29, 0.0272, 0)</f>
        <v>79.930299999999988</v>
      </c>
      <c r="D1009" s="4">
        <f>95.6897 * CHOOSE(CONTROL!$C$10, $C$13, 100%, $E$13) + CHOOSE(CONTROL!$C$29, 0.0021, 0)</f>
        <v>95.691800000000001</v>
      </c>
      <c r="E1009" s="4">
        <f>520.84790797373 * CHOOSE(CONTROL!$C$10, $C$13, 100%, $E$13) + CHOOSE(CONTROL!$C$29, 0.0021, 0)</f>
        <v>520.85000797373004</v>
      </c>
    </row>
    <row r="1010" spans="1:5" ht="15">
      <c r="A1010" s="13">
        <v>71894</v>
      </c>
      <c r="B1010" s="4">
        <f>77.6252 * CHOOSE(CONTROL!$C$10, $C$13, 100%, $E$13) + CHOOSE(CONTROL!$C$29, 0.0272, 0)</f>
        <v>77.6524</v>
      </c>
      <c r="C1010" s="4">
        <f>77.2619 * CHOOSE(CONTROL!$C$10, $C$13, 100%, $E$13) + CHOOSE(CONTROL!$C$29, 0.0272, 0)</f>
        <v>77.289099999999991</v>
      </c>
      <c r="D1010" s="4">
        <f>94.3967 * CHOOSE(CONTROL!$C$10, $C$13, 100%, $E$13) + CHOOSE(CONTROL!$C$29, 0.0021, 0)</f>
        <v>94.398799999999994</v>
      </c>
      <c r="E1010" s="4">
        <f>503.542497439112 * CHOOSE(CONTROL!$C$10, $C$13, 100%, $E$13) + CHOOSE(CONTROL!$C$29, 0.0021, 0)</f>
        <v>503.54459743911201</v>
      </c>
    </row>
    <row r="1011" spans="1:5" ht="15">
      <c r="A1011" s="13">
        <v>71924</v>
      </c>
      <c r="B1011" s="4">
        <f>75.9241 * CHOOSE(CONTROL!$C$10, $C$13, 100%, $E$13) + CHOOSE(CONTROL!$C$29, 0.0272, 0)</f>
        <v>75.951299999999989</v>
      </c>
      <c r="C1011" s="4">
        <f>75.5608 * CHOOSE(CONTROL!$C$10, $C$13, 100%, $E$13) + CHOOSE(CONTROL!$C$29, 0.0272, 0)</f>
        <v>75.587999999999994</v>
      </c>
      <c r="D1011" s="4">
        <f>93.9522 * CHOOSE(CONTROL!$C$10, $C$13, 100%, $E$13) + CHOOSE(CONTROL!$C$29, 0.0021, 0)</f>
        <v>93.954300000000003</v>
      </c>
      <c r="E1011" s="4">
        <f>492.396520767667 * CHOOSE(CONTROL!$C$10, $C$13, 100%, $E$13) + CHOOSE(CONTROL!$C$29, 0.0021, 0)</f>
        <v>492.39862076766701</v>
      </c>
    </row>
    <row r="1012" spans="1:5" ht="15">
      <c r="A1012" s="13">
        <v>71955</v>
      </c>
      <c r="B1012" s="4">
        <f>74.7471 * CHOOSE(CONTROL!$C$10, $C$13, 100%, $E$13) + CHOOSE(CONTROL!$C$29, 0.0272, 0)</f>
        <v>74.774299999999997</v>
      </c>
      <c r="C1012" s="4">
        <f>74.3839 * CHOOSE(CONTROL!$C$10, $C$13, 100%, $E$13) + CHOOSE(CONTROL!$C$29, 0.0272, 0)</f>
        <v>74.41109999999999</v>
      </c>
      <c r="D1012" s="4">
        <f>90.6795 * CHOOSE(CONTROL!$C$10, $C$13, 100%, $E$13) + CHOOSE(CONTROL!$C$29, 0.0021, 0)</f>
        <v>90.681600000000003</v>
      </c>
      <c r="E1012" s="4">
        <f>484.684937664173 * CHOOSE(CONTROL!$C$10, $C$13, 100%, $E$13) + CHOOSE(CONTROL!$C$29, 0.0021, 0)</f>
        <v>484.68703766417298</v>
      </c>
    </row>
    <row r="1013" spans="1:5" ht="15">
      <c r="A1013" s="13">
        <v>71986</v>
      </c>
      <c r="B1013" s="4">
        <f>71.6624 * CHOOSE(CONTROL!$C$10, $C$13, 100%, $E$13) + CHOOSE(CONTROL!$C$29, 0.0272, 0)</f>
        <v>71.689599999999999</v>
      </c>
      <c r="C1013" s="4">
        <f>71.2991 * CHOOSE(CONTROL!$C$10, $C$13, 100%, $E$13) + CHOOSE(CONTROL!$C$29, 0.0272, 0)</f>
        <v>71.326299999999989</v>
      </c>
      <c r="D1013" s="4">
        <f>86.9117 * CHOOSE(CONTROL!$C$10, $C$13, 100%, $E$13) + CHOOSE(CONTROL!$C$29, 0.0021, 0)</f>
        <v>86.913799999999995</v>
      </c>
      <c r="E1013" s="4">
        <f>464.495840536779 * CHOOSE(CONTROL!$C$10, $C$13, 100%, $E$13) + CHOOSE(CONTROL!$C$29, 0.0021, 0)</f>
        <v>464.49794053677897</v>
      </c>
    </row>
    <row r="1014" spans="1:5" ht="15">
      <c r="A1014" s="13">
        <v>72014</v>
      </c>
      <c r="B1014" s="4">
        <f>73.3456 * CHOOSE(CONTROL!$C$10, $C$13, 100%, $E$13) + CHOOSE(CONTROL!$C$29, 0.0272, 0)</f>
        <v>73.372799999999998</v>
      </c>
      <c r="C1014" s="4">
        <f>72.9823 * CHOOSE(CONTROL!$C$10, $C$13, 100%, $E$13) + CHOOSE(CONTROL!$C$29, 0.0272, 0)</f>
        <v>73.009499999999989</v>
      </c>
      <c r="D1014" s="4">
        <f>89.9138 * CHOOSE(CONTROL!$C$10, $C$13, 100%, $E$13) + CHOOSE(CONTROL!$C$29, 0.0021, 0)</f>
        <v>89.915899999999993</v>
      </c>
      <c r="E1014" s="4">
        <f>475.524802327165 * CHOOSE(CONTROL!$C$10, $C$13, 100%, $E$13) + CHOOSE(CONTROL!$C$29, 0.0021, 0)</f>
        <v>475.52690232716498</v>
      </c>
    </row>
    <row r="1015" spans="1:5" ht="15">
      <c r="A1015" s="13">
        <v>72045</v>
      </c>
      <c r="B1015" s="4">
        <f>77.7657 * CHOOSE(CONTROL!$C$10, $C$13, 100%, $E$13) + CHOOSE(CONTROL!$C$29, 0.0272, 0)</f>
        <v>77.792899999999989</v>
      </c>
      <c r="C1015" s="4">
        <f>77.4024 * CHOOSE(CONTROL!$C$10, $C$13, 100%, $E$13) + CHOOSE(CONTROL!$C$29, 0.0272, 0)</f>
        <v>77.429599999999994</v>
      </c>
      <c r="D1015" s="4">
        <f>94.6134 * CHOOSE(CONTROL!$C$10, $C$13, 100%, $E$13) + CHOOSE(CONTROL!$C$29, 0.0021, 0)</f>
        <v>94.615499999999997</v>
      </c>
      <c r="E1015" s="4">
        <f>504.487442103345 * CHOOSE(CONTROL!$C$10, $C$13, 100%, $E$13) + CHOOSE(CONTROL!$C$29, 0.0021, 0)</f>
        <v>504.489542103345</v>
      </c>
    </row>
    <row r="1016" spans="1:5" ht="15">
      <c r="A1016" s="13">
        <v>72075</v>
      </c>
      <c r="B1016" s="4">
        <f>80.9062 * CHOOSE(CONTROL!$C$10, $C$13, 100%, $E$13) + CHOOSE(CONTROL!$C$29, 0.0272, 0)</f>
        <v>80.933399999999992</v>
      </c>
      <c r="C1016" s="4">
        <f>80.543 * CHOOSE(CONTROL!$C$10, $C$13, 100%, $E$13) + CHOOSE(CONTROL!$C$29, 0.0272, 0)</f>
        <v>80.5702</v>
      </c>
      <c r="D1016" s="4">
        <f>97.3205 * CHOOSE(CONTROL!$C$10, $C$13, 100%, $E$13) + CHOOSE(CONTROL!$C$29, 0.0021, 0)</f>
        <v>97.322599999999994</v>
      </c>
      <c r="E1016" s="4">
        <f>525.065783642244 * CHOOSE(CONTROL!$C$10, $C$13, 100%, $E$13) + CHOOSE(CONTROL!$C$29, 0.0021, 0)</f>
        <v>525.06788364224406</v>
      </c>
    </row>
    <row r="1017" spans="1:5" ht="15">
      <c r="A1017" s="13">
        <v>72106</v>
      </c>
      <c r="B1017" s="4">
        <f>82.825 * CHOOSE(CONTROL!$C$10, $C$13, 100%, $E$13) + CHOOSE(CONTROL!$C$29, 0.0272, 0)</f>
        <v>82.852199999999996</v>
      </c>
      <c r="C1017" s="4">
        <f>82.4618 * CHOOSE(CONTROL!$C$10, $C$13, 100%, $E$13) + CHOOSE(CONTROL!$C$29, 0.0272, 0)</f>
        <v>82.48899999999999</v>
      </c>
      <c r="D1017" s="4">
        <f>96.2507 * CHOOSE(CONTROL!$C$10, $C$13, 100%, $E$13) + CHOOSE(CONTROL!$C$29, 0.0021, 0)</f>
        <v>96.252799999999993</v>
      </c>
      <c r="E1017" s="4">
        <f>537.638657128498 * CHOOSE(CONTROL!$C$10, $C$13, 100%, $E$13) + CHOOSE(CONTROL!$C$29, 0.0021, 0)</f>
        <v>537.64075712849808</v>
      </c>
    </row>
    <row r="1018" spans="1:5" ht="15">
      <c r="A1018" s="13">
        <v>72136</v>
      </c>
      <c r="B1018" s="4">
        <f>83.0847 * CHOOSE(CONTROL!$C$10, $C$13, 100%, $E$13) + CHOOSE(CONTROL!$C$29, 0.0272, 0)</f>
        <v>83.111899999999991</v>
      </c>
      <c r="C1018" s="4">
        <f>82.7214 * CHOOSE(CONTROL!$C$10, $C$13, 100%, $E$13) + CHOOSE(CONTROL!$C$29, 0.0272, 0)</f>
        <v>82.748599999999996</v>
      </c>
      <c r="D1018" s="4">
        <f>97.1219 * CHOOSE(CONTROL!$C$10, $C$13, 100%, $E$13) + CHOOSE(CONTROL!$C$29, 0.0021, 0)</f>
        <v>97.123999999999995</v>
      </c>
      <c r="E1018" s="4">
        <f>539.339819089685 * CHOOSE(CONTROL!$C$10, $C$13, 100%, $E$13) + CHOOSE(CONTROL!$C$29, 0.0021, 0)</f>
        <v>539.34191908968501</v>
      </c>
    </row>
    <row r="1019" spans="1:5" ht="15">
      <c r="A1019" s="13">
        <v>72167</v>
      </c>
      <c r="B1019" s="4">
        <f>83.0585 * CHOOSE(CONTROL!$C$10, $C$13, 100%, $E$13) + CHOOSE(CONTROL!$C$29, 0.0272, 0)</f>
        <v>83.085699999999989</v>
      </c>
      <c r="C1019" s="4">
        <f>82.6952 * CHOOSE(CONTROL!$C$10, $C$13, 100%, $E$13) + CHOOSE(CONTROL!$C$29, 0.0272, 0)</f>
        <v>82.722399999999993</v>
      </c>
      <c r="D1019" s="4">
        <f>98.6939 * CHOOSE(CONTROL!$C$10, $C$13, 100%, $E$13) + CHOOSE(CONTROL!$C$29, 0.0021, 0)</f>
        <v>98.695999999999998</v>
      </c>
      <c r="E1019" s="4">
        <f>539.1682733457 * CHOOSE(CONTROL!$C$10, $C$13, 100%, $E$13) + CHOOSE(CONTROL!$C$29, 0.0021, 0)</f>
        <v>539.1703733457</v>
      </c>
    </row>
    <row r="1020" spans="1:5" ht="15">
      <c r="A1020" s="13">
        <v>72198</v>
      </c>
      <c r="B1020" s="4">
        <f>85.0286 * CHOOSE(CONTROL!$C$10, $C$13, 100%, $E$13) + CHOOSE(CONTROL!$C$29, 0.0272, 0)</f>
        <v>85.055799999999991</v>
      </c>
      <c r="C1020" s="4">
        <f>84.6653 * CHOOSE(CONTROL!$C$10, $C$13, 100%, $E$13) + CHOOSE(CONTROL!$C$29, 0.0272, 0)</f>
        <v>84.692499999999995</v>
      </c>
      <c r="D1020" s="4">
        <f>97.6558 * CHOOSE(CONTROL!$C$10, $C$13, 100%, $E$13) + CHOOSE(CONTROL!$C$29, 0.0021, 0)</f>
        <v>97.657899999999998</v>
      </c>
      <c r="E1020" s="4">
        <f>552.077090580592 * CHOOSE(CONTROL!$C$10, $C$13, 100%, $E$13) + CHOOSE(CONTROL!$C$29, 0.0021, 0)</f>
        <v>552.07919058059201</v>
      </c>
    </row>
    <row r="1021" spans="1:5" ht="15">
      <c r="A1021" s="13">
        <v>72228</v>
      </c>
      <c r="B1021" s="4">
        <f>81.6709 * CHOOSE(CONTROL!$C$10, $C$13, 100%, $E$13) + CHOOSE(CONTROL!$C$29, 0.0272, 0)</f>
        <v>81.698099999999997</v>
      </c>
      <c r="C1021" s="4">
        <f>81.3076 * CHOOSE(CONTROL!$C$10, $C$13, 100%, $E$13) + CHOOSE(CONTROL!$C$29, 0.0272, 0)</f>
        <v>81.334799999999987</v>
      </c>
      <c r="D1021" s="4">
        <f>97.1653 * CHOOSE(CONTROL!$C$10, $C$13, 100%, $E$13) + CHOOSE(CONTROL!$C$29, 0.0021, 0)</f>
        <v>97.167400000000001</v>
      </c>
      <c r="E1021" s="4">
        <f>530.076348914481 * CHOOSE(CONTROL!$C$10, $C$13, 100%, $E$13) + CHOOSE(CONTROL!$C$29, 0.0021, 0)</f>
        <v>530.07844891448099</v>
      </c>
    </row>
    <row r="1022" spans="1:5" ht="15">
      <c r="A1022" s="13">
        <v>72259</v>
      </c>
      <c r="B1022" s="4">
        <f>78.9831 * CHOOSE(CONTROL!$C$10, $C$13, 100%, $E$13) + CHOOSE(CONTROL!$C$29, 0.0272, 0)</f>
        <v>79.010299999999987</v>
      </c>
      <c r="C1022" s="4">
        <f>78.6198 * CHOOSE(CONTROL!$C$10, $C$13, 100%, $E$13) + CHOOSE(CONTROL!$C$29, 0.0272, 0)</f>
        <v>78.646999999999991</v>
      </c>
      <c r="D1022" s="4">
        <f>95.852 * CHOOSE(CONTROL!$C$10, $C$13, 100%, $E$13) + CHOOSE(CONTROL!$C$29, 0.0021, 0)</f>
        <v>95.854100000000003</v>
      </c>
      <c r="E1022" s="4">
        <f>512.46431919866 * CHOOSE(CONTROL!$C$10, $C$13, 100%, $E$13) + CHOOSE(CONTROL!$C$29, 0.0021, 0)</f>
        <v>512.46641919865999</v>
      </c>
    </row>
    <row r="1023" spans="1:5" ht="15">
      <c r="A1023" s="13">
        <v>72289</v>
      </c>
      <c r="B1023" s="4">
        <f>77.2519 * CHOOSE(CONTROL!$C$10, $C$13, 100%, $E$13) + CHOOSE(CONTROL!$C$29, 0.0272, 0)</f>
        <v>77.2791</v>
      </c>
      <c r="C1023" s="4">
        <f>76.8886 * CHOOSE(CONTROL!$C$10, $C$13, 100%, $E$13) + CHOOSE(CONTROL!$C$29, 0.0272, 0)</f>
        <v>76.91579999999999</v>
      </c>
      <c r="D1023" s="4">
        <f>95.4004 * CHOOSE(CONTROL!$C$10, $C$13, 100%, $E$13) + CHOOSE(CONTROL!$C$29, 0.0021, 0)</f>
        <v>95.402500000000003</v>
      </c>
      <c r="E1023" s="4">
        <f>501.120856877634 * CHOOSE(CONTROL!$C$10, $C$13, 100%, $E$13) + CHOOSE(CONTROL!$C$29, 0.0021, 0)</f>
        <v>501.12295687763401</v>
      </c>
    </row>
    <row r="1024" spans="1:5" ht="15">
      <c r="A1024" s="13">
        <v>72320</v>
      </c>
      <c r="B1024" s="4">
        <f>76.0541 * CHOOSE(CONTROL!$C$10, $C$13, 100%, $E$13) + CHOOSE(CONTROL!$C$29, 0.0272, 0)</f>
        <v>76.081299999999999</v>
      </c>
      <c r="C1024" s="4">
        <f>75.6909 * CHOOSE(CONTROL!$C$10, $C$13, 100%, $E$13) + CHOOSE(CONTROL!$C$29, 0.0272, 0)</f>
        <v>75.718099999999993</v>
      </c>
      <c r="D1024" s="4">
        <f>92.0763 * CHOOSE(CONTROL!$C$10, $C$13, 100%, $E$13) + CHOOSE(CONTROL!$C$29, 0.0021, 0)</f>
        <v>92.078400000000002</v>
      </c>
      <c r="E1024" s="4">
        <f>493.272639090308 * CHOOSE(CONTROL!$C$10, $C$13, 100%, $E$13) + CHOOSE(CONTROL!$C$29, 0.0021, 0)</f>
        <v>493.274739090308</v>
      </c>
    </row>
    <row r="1025" spans="1:5" ht="15">
      <c r="A1025" s="13">
        <v>72351</v>
      </c>
      <c r="B1025" s="4">
        <f>72.9149 * CHOOSE(CONTROL!$C$10, $C$13, 100%, $E$13) + CHOOSE(CONTROL!$C$29, 0.0272, 0)</f>
        <v>72.942099999999996</v>
      </c>
      <c r="C1025" s="4">
        <f>72.5516 * CHOOSE(CONTROL!$C$10, $C$13, 100%, $E$13) + CHOOSE(CONTROL!$C$29, 0.0272, 0)</f>
        <v>72.578799999999987</v>
      </c>
      <c r="D1025" s="4">
        <f>88.2493 * CHOOSE(CONTROL!$C$10, $C$13, 100%, $E$13) + CHOOSE(CONTROL!$C$29, 0.0021, 0)</f>
        <v>88.251400000000004</v>
      </c>
      <c r="E1025" s="4">
        <f>472.725829303163 * CHOOSE(CONTROL!$C$10, $C$13, 100%, $E$13) + CHOOSE(CONTROL!$C$29, 0.0021, 0)</f>
        <v>472.72792930316297</v>
      </c>
    </row>
    <row r="1026" spans="1:5" ht="15">
      <c r="A1026" s="13">
        <v>72379</v>
      </c>
      <c r="B1026" s="4">
        <f>74.6278 * CHOOSE(CONTROL!$C$10, $C$13, 100%, $E$13) + CHOOSE(CONTROL!$C$29, 0.0272, 0)</f>
        <v>74.654999999999987</v>
      </c>
      <c r="C1026" s="4">
        <f>74.2645 * CHOOSE(CONTROL!$C$10, $C$13, 100%, $E$13) + CHOOSE(CONTROL!$C$29, 0.0272, 0)</f>
        <v>74.291699999999992</v>
      </c>
      <c r="D1026" s="4">
        <f>91.2986 * CHOOSE(CONTROL!$C$10, $C$13, 100%, $E$13) + CHOOSE(CONTROL!$C$29, 0.0021, 0)</f>
        <v>91.300699999999992</v>
      </c>
      <c r="E1026" s="4">
        <f>483.950203460503 * CHOOSE(CONTROL!$C$10, $C$13, 100%, $E$13) + CHOOSE(CONTROL!$C$29, 0.0021, 0)</f>
        <v>483.952303460503</v>
      </c>
    </row>
    <row r="1027" spans="1:5" ht="15">
      <c r="A1027" s="13">
        <v>72410</v>
      </c>
      <c r="B1027" s="4">
        <f>79.126 * CHOOSE(CONTROL!$C$10, $C$13, 100%, $E$13) + CHOOSE(CONTROL!$C$29, 0.0272, 0)</f>
        <v>79.153199999999998</v>
      </c>
      <c r="C1027" s="4">
        <f>78.7627 * CHOOSE(CONTROL!$C$10, $C$13, 100%, $E$13) + CHOOSE(CONTROL!$C$29, 0.0272, 0)</f>
        <v>78.789899999999989</v>
      </c>
      <c r="D1027" s="4">
        <f>96.072 * CHOOSE(CONTROL!$C$10, $C$13, 100%, $E$13) + CHOOSE(CONTROL!$C$29, 0.0021, 0)</f>
        <v>96.074100000000001</v>
      </c>
      <c r="E1027" s="4">
        <f>513.426006497149 * CHOOSE(CONTROL!$C$10, $C$13, 100%, $E$13) + CHOOSE(CONTROL!$C$29, 0.0021, 0)</f>
        <v>513.42810649714909</v>
      </c>
    </row>
    <row r="1028" spans="1:5" ht="15">
      <c r="A1028" s="13">
        <v>72440</v>
      </c>
      <c r="B1028" s="4">
        <f>82.322 * CHOOSE(CONTROL!$C$10, $C$13, 100%, $E$13) + CHOOSE(CONTROL!$C$29, 0.0272, 0)</f>
        <v>82.349199999999996</v>
      </c>
      <c r="C1028" s="4">
        <f>81.9588 * CHOOSE(CONTROL!$C$10, $C$13, 100%, $E$13) + CHOOSE(CONTROL!$C$29, 0.0272, 0)</f>
        <v>81.98599999999999</v>
      </c>
      <c r="D1028" s="4">
        <f>98.8217 * CHOOSE(CONTROL!$C$10, $C$13, 100%, $E$13) + CHOOSE(CONTROL!$C$29, 0.0021, 0)</f>
        <v>98.823800000000006</v>
      </c>
      <c r="E1028" s="4">
        <f>534.368957371409 * CHOOSE(CONTROL!$C$10, $C$13, 100%, $E$13) + CHOOSE(CONTROL!$C$29, 0.0021, 0)</f>
        <v>534.37105737140905</v>
      </c>
    </row>
    <row r="1029" spans="1:5" ht="15">
      <c r="A1029" s="13">
        <v>72471</v>
      </c>
      <c r="B1029" s="4">
        <f>84.2748 * CHOOSE(CONTROL!$C$10, $C$13, 100%, $E$13) + CHOOSE(CONTROL!$C$29, 0.0272, 0)</f>
        <v>84.301999999999992</v>
      </c>
      <c r="C1029" s="4">
        <f>83.9115 * CHOOSE(CONTROL!$C$10, $C$13, 100%, $E$13) + CHOOSE(CONTROL!$C$29, 0.0272, 0)</f>
        <v>83.938699999999997</v>
      </c>
      <c r="D1029" s="4">
        <f>97.7352 * CHOOSE(CONTROL!$C$10, $C$13, 100%, $E$13) + CHOOSE(CONTROL!$C$29, 0.0021, 0)</f>
        <v>97.737300000000005</v>
      </c>
      <c r="E1029" s="4">
        <f>547.164598423102 * CHOOSE(CONTROL!$C$10, $C$13, 100%, $E$13) + CHOOSE(CONTROL!$C$29, 0.0021, 0)</f>
        <v>547.16669842310205</v>
      </c>
    </row>
    <row r="1030" spans="1:5" ht="15">
      <c r="A1030" s="13">
        <v>72501</v>
      </c>
      <c r="B1030" s="4">
        <f>84.539 * CHOOSE(CONTROL!$C$10, $C$13, 100%, $E$13) + CHOOSE(CONTROL!$C$29, 0.0272, 0)</f>
        <v>84.566199999999995</v>
      </c>
      <c r="C1030" s="4">
        <f>84.1757 * CHOOSE(CONTROL!$C$10, $C$13, 100%, $E$13) + CHOOSE(CONTROL!$C$29, 0.0272, 0)</f>
        <v>84.2029</v>
      </c>
      <c r="D1030" s="4">
        <f>98.6201 * CHOOSE(CONTROL!$C$10, $C$13, 100%, $E$13) + CHOOSE(CONTROL!$C$29, 0.0021, 0)</f>
        <v>98.622199999999992</v>
      </c>
      <c r="E1030" s="4">
        <f>548.895901760398 * CHOOSE(CONTROL!$C$10, $C$13, 100%, $E$13) + CHOOSE(CONTROL!$C$29, 0.0021, 0)</f>
        <v>548.89800176039807</v>
      </c>
    </row>
    <row r="1031" spans="1:5" ht="15">
      <c r="A1031" s="13">
        <v>72532</v>
      </c>
      <c r="B1031" s="4">
        <f>84.5123 * CHOOSE(CONTROL!$C$10, $C$13, 100%, $E$13) + CHOOSE(CONTROL!$C$29, 0.0272, 0)</f>
        <v>84.53949999999999</v>
      </c>
      <c r="C1031" s="4">
        <f>84.149 * CHOOSE(CONTROL!$C$10, $C$13, 100%, $E$13) + CHOOSE(CONTROL!$C$29, 0.0272, 0)</f>
        <v>84.176199999999994</v>
      </c>
      <c r="D1031" s="4">
        <f>100.2167 * CHOOSE(CONTROL!$C$10, $C$13, 100%, $E$13) + CHOOSE(CONTROL!$C$29, 0.0021, 0)</f>
        <v>100.2188</v>
      </c>
      <c r="E1031" s="4">
        <f>548.721316549914 * CHOOSE(CONTROL!$C$10, $C$13, 100%, $E$13) + CHOOSE(CONTROL!$C$29, 0.0021, 0)</f>
        <v>548.72341654991408</v>
      </c>
    </row>
    <row r="1032" spans="1:5" ht="15">
      <c r="A1032" s="13">
        <v>72563</v>
      </c>
      <c r="B1032" s="4">
        <f>86.5172 * CHOOSE(CONTROL!$C$10, $C$13, 100%, $E$13) + CHOOSE(CONTROL!$C$29, 0.0272, 0)</f>
        <v>86.544399999999996</v>
      </c>
      <c r="C1032" s="4">
        <f>86.1539 * CHOOSE(CONTROL!$C$10, $C$13, 100%, $E$13) + CHOOSE(CONTROL!$C$29, 0.0272, 0)</f>
        <v>86.181099999999986</v>
      </c>
      <c r="D1032" s="4">
        <f>99.1623 * CHOOSE(CONTROL!$C$10, $C$13, 100%, $E$13) + CHOOSE(CONTROL!$C$29, 0.0021, 0)</f>
        <v>99.164400000000001</v>
      </c>
      <c r="E1032" s="4">
        <f>561.858853638804 * CHOOSE(CONTROL!$C$10, $C$13, 100%, $E$13) + CHOOSE(CONTROL!$C$29, 0.0021, 0)</f>
        <v>561.86095363880406</v>
      </c>
    </row>
    <row r="1033" spans="1:5" ht="15">
      <c r="A1033" s="13">
        <v>72593</v>
      </c>
      <c r="B1033" s="4">
        <f>83.1002 * CHOOSE(CONTROL!$C$10, $C$13, 100%, $E$13) + CHOOSE(CONTROL!$C$29, 0.0272, 0)</f>
        <v>83.127399999999994</v>
      </c>
      <c r="C1033" s="4">
        <f>82.737 * CHOOSE(CONTROL!$C$10, $C$13, 100%, $E$13) + CHOOSE(CONTROL!$C$29, 0.0272, 0)</f>
        <v>82.764199999999988</v>
      </c>
      <c r="D1033" s="4">
        <f>98.6641 * CHOOSE(CONTROL!$C$10, $C$13, 100%, $E$13) + CHOOSE(CONTROL!$C$29, 0.0021, 0)</f>
        <v>98.666200000000003</v>
      </c>
      <c r="E1033" s="4">
        <f>539.468300394284 * CHOOSE(CONTROL!$C$10, $C$13, 100%, $E$13) + CHOOSE(CONTROL!$C$29, 0.0021, 0)</f>
        <v>539.47040039428407</v>
      </c>
    </row>
    <row r="1034" spans="1:5" ht="15">
      <c r="A1034" s="13">
        <v>72624</v>
      </c>
      <c r="B1034" s="4">
        <f>80.3649 * CHOOSE(CONTROL!$C$10, $C$13, 100%, $E$13) + CHOOSE(CONTROL!$C$29, 0.0272, 0)</f>
        <v>80.392099999999999</v>
      </c>
      <c r="C1034" s="4">
        <f>80.0016 * CHOOSE(CONTROL!$C$10, $C$13, 100%, $E$13) + CHOOSE(CONTROL!$C$29, 0.0272, 0)</f>
        <v>80.02879999999999</v>
      </c>
      <c r="D1034" s="4">
        <f>97.3301 * CHOOSE(CONTROL!$C$10, $C$13, 100%, $E$13) + CHOOSE(CONTROL!$C$29, 0.0021, 0)</f>
        <v>97.3322</v>
      </c>
      <c r="E1034" s="4">
        <f>521.544218784636 * CHOOSE(CONTROL!$C$10, $C$13, 100%, $E$13) + CHOOSE(CONTROL!$C$29, 0.0021, 0)</f>
        <v>521.54631878463601</v>
      </c>
    </row>
    <row r="1035" spans="1:5" ht="15">
      <c r="A1035" s="13">
        <v>72654</v>
      </c>
      <c r="B1035" s="4">
        <f>78.6031 * CHOOSE(CONTROL!$C$10, $C$13, 100%, $E$13) + CHOOSE(CONTROL!$C$29, 0.0272, 0)</f>
        <v>78.630299999999991</v>
      </c>
      <c r="C1035" s="4">
        <f>78.2399 * CHOOSE(CONTROL!$C$10, $C$13, 100%, $E$13) + CHOOSE(CONTROL!$C$29, 0.0272, 0)</f>
        <v>78.267099999999999</v>
      </c>
      <c r="D1035" s="4">
        <f>96.8715 * CHOOSE(CONTROL!$C$10, $C$13, 100%, $E$13) + CHOOSE(CONTROL!$C$29, 0.0021, 0)</f>
        <v>96.873599999999996</v>
      </c>
      <c r="E1035" s="4">
        <f>509.999771741408 * CHOOSE(CONTROL!$C$10, $C$13, 100%, $E$13) + CHOOSE(CONTROL!$C$29, 0.0021, 0)</f>
        <v>510.00187174140797</v>
      </c>
    </row>
    <row r="1036" spans="1:5" ht="15">
      <c r="A1036" s="13">
        <v>72685</v>
      </c>
      <c r="B1036" s="4">
        <f>77.3842 * CHOOSE(CONTROL!$C$10, $C$13, 100%, $E$13) + CHOOSE(CONTROL!$C$29, 0.0272, 0)</f>
        <v>77.4114</v>
      </c>
      <c r="C1036" s="4">
        <f>77.0209 * CHOOSE(CONTROL!$C$10, $C$13, 100%, $E$13) + CHOOSE(CONTROL!$C$29, 0.0272, 0)</f>
        <v>77.048099999999991</v>
      </c>
      <c r="D1036" s="4">
        <f>93.4951 * CHOOSE(CONTROL!$C$10, $C$13, 100%, $E$13) + CHOOSE(CONTROL!$C$29, 0.0021, 0)</f>
        <v>93.497199999999992</v>
      </c>
      <c r="E1036" s="4">
        <f>502.012498361784 * CHOOSE(CONTROL!$C$10, $C$13, 100%, $E$13) + CHOOSE(CONTROL!$C$29, 0.0021, 0)</f>
        <v>502.01459836178401</v>
      </c>
    </row>
    <row r="1037" spans="1:5" ht="15">
      <c r="A1037" s="13">
        <v>72716</v>
      </c>
      <c r="B1037" s="4">
        <f>74.1895 * CHOOSE(CONTROL!$C$10, $C$13, 100%, $E$13) + CHOOSE(CONTROL!$C$29, 0.0272, 0)</f>
        <v>74.216699999999989</v>
      </c>
      <c r="C1037" s="4">
        <f>73.8262 * CHOOSE(CONTROL!$C$10, $C$13, 100%, $E$13) + CHOOSE(CONTROL!$C$29, 0.0272, 0)</f>
        <v>73.853399999999993</v>
      </c>
      <c r="D1037" s="4">
        <f>89.6079 * CHOOSE(CONTROL!$C$10, $C$13, 100%, $E$13) + CHOOSE(CONTROL!$C$29, 0.0021, 0)</f>
        <v>89.61</v>
      </c>
      <c r="E1037" s="4">
        <f>481.10163792235 * CHOOSE(CONTROL!$C$10, $C$13, 100%, $E$13) + CHOOSE(CONTROL!$C$29, 0.0021, 0)</f>
        <v>481.10373792234998</v>
      </c>
    </row>
    <row r="1038" spans="1:5" ht="15">
      <c r="A1038" s="13">
        <v>72744</v>
      </c>
      <c r="B1038" s="4">
        <f>75.9327 * CHOOSE(CONTROL!$C$10, $C$13, 100%, $E$13) + CHOOSE(CONTROL!$C$29, 0.0272, 0)</f>
        <v>75.95989999999999</v>
      </c>
      <c r="C1038" s="4">
        <f>75.5694 * CHOOSE(CONTROL!$C$10, $C$13, 100%, $E$13) + CHOOSE(CONTROL!$C$29, 0.0272, 0)</f>
        <v>75.596599999999995</v>
      </c>
      <c r="D1038" s="4">
        <f>92.7051 * CHOOSE(CONTROL!$C$10, $C$13, 100%, $E$13) + CHOOSE(CONTROL!$C$29, 0.0021, 0)</f>
        <v>92.7072</v>
      </c>
      <c r="E1038" s="4">
        <f>492.524886784613 * CHOOSE(CONTROL!$C$10, $C$13, 100%, $E$13) + CHOOSE(CONTROL!$C$29, 0.0021, 0)</f>
        <v>492.52698678461297</v>
      </c>
    </row>
    <row r="1039" spans="1:5" ht="15">
      <c r="A1039" s="13">
        <v>72775</v>
      </c>
      <c r="B1039" s="4">
        <f>80.5104 * CHOOSE(CONTROL!$C$10, $C$13, 100%, $E$13) + CHOOSE(CONTROL!$C$29, 0.0272, 0)</f>
        <v>80.537599999999998</v>
      </c>
      <c r="C1039" s="4">
        <f>80.1471 * CHOOSE(CONTROL!$C$10, $C$13, 100%, $E$13) + CHOOSE(CONTROL!$C$29, 0.0272, 0)</f>
        <v>80.174299999999988</v>
      </c>
      <c r="D1039" s="4">
        <f>97.5536 * CHOOSE(CONTROL!$C$10, $C$13, 100%, $E$13) + CHOOSE(CONTROL!$C$29, 0.0021, 0)</f>
        <v>97.555700000000002</v>
      </c>
      <c r="E1039" s="4">
        <f>522.522945365229 * CHOOSE(CONTROL!$C$10, $C$13, 100%, $E$13) + CHOOSE(CONTROL!$C$29, 0.0021, 0)</f>
        <v>522.52504536522906</v>
      </c>
    </row>
    <row r="1040" spans="1:5" ht="15">
      <c r="A1040" s="13">
        <v>72805</v>
      </c>
      <c r="B1040" s="4">
        <f>83.7629 * CHOOSE(CONTROL!$C$10, $C$13, 100%, $E$13) + CHOOSE(CONTROL!$C$29, 0.0272, 0)</f>
        <v>83.790099999999995</v>
      </c>
      <c r="C1040" s="4">
        <f>83.3996 * CHOOSE(CONTROL!$C$10, $C$13, 100%, $E$13) + CHOOSE(CONTROL!$C$29, 0.0272, 0)</f>
        <v>83.4268</v>
      </c>
      <c r="D1040" s="4">
        <f>100.3465 * CHOOSE(CONTROL!$C$10, $C$13, 100%, $E$13) + CHOOSE(CONTROL!$C$29, 0.0021, 0)</f>
        <v>100.3486</v>
      </c>
      <c r="E1040" s="4">
        <f>543.836965763451 * CHOOSE(CONTROL!$C$10, $C$13, 100%, $E$13) + CHOOSE(CONTROL!$C$29, 0.0021, 0)</f>
        <v>543.839065763451</v>
      </c>
    </row>
    <row r="1041" spans="1:5" ht="15">
      <c r="A1041" s="13">
        <v>72836</v>
      </c>
      <c r="B1041" s="4">
        <f>85.7501 * CHOOSE(CONTROL!$C$10, $C$13, 100%, $E$13) + CHOOSE(CONTROL!$C$29, 0.0272, 0)</f>
        <v>85.777299999999997</v>
      </c>
      <c r="C1041" s="4">
        <f>85.3868 * CHOOSE(CONTROL!$C$10, $C$13, 100%, $E$13) + CHOOSE(CONTROL!$C$29, 0.0272, 0)</f>
        <v>85.413999999999987</v>
      </c>
      <c r="D1041" s="4">
        <f>99.2429 * CHOOSE(CONTROL!$C$10, $C$13, 100%, $E$13) + CHOOSE(CONTROL!$C$29, 0.0021, 0)</f>
        <v>99.245000000000005</v>
      </c>
      <c r="E1041" s="4">
        <f>556.859321400989 * CHOOSE(CONTROL!$C$10, $C$13, 100%, $E$13) + CHOOSE(CONTROL!$C$29, 0.0021, 0)</f>
        <v>556.861421400989</v>
      </c>
    </row>
    <row r="1042" spans="1:5" ht="15">
      <c r="A1042" s="13">
        <v>72866</v>
      </c>
      <c r="B1042" s="4">
        <f>86.019 * CHOOSE(CONTROL!$C$10, $C$13, 100%, $E$13) + CHOOSE(CONTROL!$C$29, 0.0272, 0)</f>
        <v>86.046199999999999</v>
      </c>
      <c r="C1042" s="4">
        <f>85.6557 * CHOOSE(CONTROL!$C$10, $C$13, 100%, $E$13) + CHOOSE(CONTROL!$C$29, 0.0272, 0)</f>
        <v>85.682899999999989</v>
      </c>
      <c r="D1042" s="4">
        <f>100.1417 * CHOOSE(CONTROL!$C$10, $C$13, 100%, $E$13) + CHOOSE(CONTROL!$C$29, 0.0021, 0)</f>
        <v>100.1438</v>
      </c>
      <c r="E1042" s="4">
        <f>558.621300162635 * CHOOSE(CONTROL!$C$10, $C$13, 100%, $E$13) + CHOOSE(CONTROL!$C$29, 0.0021, 0)</f>
        <v>558.62340016263499</v>
      </c>
    </row>
    <row r="1043" spans="1:5" ht="15">
      <c r="A1043" s="13">
        <v>72897</v>
      </c>
      <c r="B1043" s="4">
        <f>85.9918 * CHOOSE(CONTROL!$C$10, $C$13, 100%, $E$13) + CHOOSE(CONTROL!$C$29, 0.0272, 0)</f>
        <v>86.018999999999991</v>
      </c>
      <c r="C1043" s="4">
        <f>85.6286 * CHOOSE(CONTROL!$C$10, $C$13, 100%, $E$13) + CHOOSE(CONTROL!$C$29, 0.0272, 0)</f>
        <v>85.655799999999999</v>
      </c>
      <c r="D1043" s="4">
        <f>101.7635 * CHOOSE(CONTROL!$C$10, $C$13, 100%, $E$13) + CHOOSE(CONTROL!$C$29, 0.0021, 0)</f>
        <v>101.76559999999999</v>
      </c>
      <c r="E1043" s="4">
        <f>558.443621632049 * CHOOSE(CONTROL!$C$10, $C$13, 100%, $E$13) + CHOOSE(CONTROL!$C$29, 0.0021, 0)</f>
        <v>558.44572163204907</v>
      </c>
    </row>
    <row r="1044" spans="1:5" ht="15">
      <c r="A1044" s="13">
        <v>72928</v>
      </c>
      <c r="B1044" s="4">
        <f>88.0322 * CHOOSE(CONTROL!$C$10, $C$13, 100%, $E$13) + CHOOSE(CONTROL!$C$29, 0.0272, 0)</f>
        <v>88.059399999999997</v>
      </c>
      <c r="C1044" s="4">
        <f>87.6689 * CHOOSE(CONTROL!$C$10, $C$13, 100%, $E$13) + CHOOSE(CONTROL!$C$29, 0.0272, 0)</f>
        <v>87.696099999999987</v>
      </c>
      <c r="D1044" s="4">
        <f>100.6925 * CHOOSE(CONTROL!$C$10, $C$13, 100%, $E$13) + CHOOSE(CONTROL!$C$29, 0.0021, 0)</f>
        <v>100.69459999999999</v>
      </c>
      <c r="E1044" s="4">
        <f>571.813931058651 * CHOOSE(CONTROL!$C$10, $C$13, 100%, $E$13) + CHOOSE(CONTROL!$C$29, 0.0021, 0)</f>
        <v>571.81603105865099</v>
      </c>
    </row>
    <row r="1045" spans="1:5" ht="15">
      <c r="A1045" s="13">
        <v>72958</v>
      </c>
      <c r="B1045" s="4">
        <f>84.5548 * CHOOSE(CONTROL!$C$10, $C$13, 100%, $E$13) + CHOOSE(CONTROL!$C$29, 0.0272, 0)</f>
        <v>84.581999999999994</v>
      </c>
      <c r="C1045" s="4">
        <f>84.1915 * CHOOSE(CONTROL!$C$10, $C$13, 100%, $E$13) + CHOOSE(CONTROL!$C$29, 0.0272, 0)</f>
        <v>84.218699999999998</v>
      </c>
      <c r="D1045" s="4">
        <f>100.1864 * CHOOSE(CONTROL!$C$10, $C$13, 100%, $E$13) + CHOOSE(CONTROL!$C$29, 0.0021, 0)</f>
        <v>100.1885</v>
      </c>
      <c r="E1045" s="4">
        <f>549.026659510986 * CHOOSE(CONTROL!$C$10, $C$13, 100%, $E$13) + CHOOSE(CONTROL!$C$29, 0.0021, 0)</f>
        <v>549.02875951098599</v>
      </c>
    </row>
    <row r="1046" spans="1:5" ht="15">
      <c r="A1046" s="13">
        <v>72989</v>
      </c>
      <c r="B1046" s="4">
        <f>81.7711 * CHOOSE(CONTROL!$C$10, $C$13, 100%, $E$13) + CHOOSE(CONTROL!$C$29, 0.0272, 0)</f>
        <v>81.798299999999998</v>
      </c>
      <c r="C1046" s="4">
        <f>81.4079 * CHOOSE(CONTROL!$C$10, $C$13, 100%, $E$13) + CHOOSE(CONTROL!$C$29, 0.0272, 0)</f>
        <v>81.435099999999991</v>
      </c>
      <c r="D1046" s="4">
        <f>98.8315 * CHOOSE(CONTROL!$C$10, $C$13, 100%, $E$13) + CHOOSE(CONTROL!$C$29, 0.0021, 0)</f>
        <v>98.833600000000004</v>
      </c>
      <c r="E1046" s="4">
        <f>530.784997037482 * CHOOSE(CONTROL!$C$10, $C$13, 100%, $E$13) + CHOOSE(CONTROL!$C$29, 0.0021, 0)</f>
        <v>530.787097037482</v>
      </c>
    </row>
    <row r="1047" spans="1:5" ht="15">
      <c r="A1047" s="13">
        <v>73019</v>
      </c>
      <c r="B1047" s="4">
        <f>79.9782 * CHOOSE(CONTROL!$C$10, $C$13, 100%, $E$13) + CHOOSE(CONTROL!$C$29, 0.0272, 0)</f>
        <v>80.005399999999995</v>
      </c>
      <c r="C1047" s="4">
        <f>79.615 * CHOOSE(CONTROL!$C$10, $C$13, 100%, $E$13) + CHOOSE(CONTROL!$C$29, 0.0272, 0)</f>
        <v>79.642199999999988</v>
      </c>
      <c r="D1047" s="4">
        <f>98.3657 * CHOOSE(CONTROL!$C$10, $C$13, 100%, $E$13) + CHOOSE(CONTROL!$C$29, 0.0021, 0)</f>
        <v>98.367800000000003</v>
      </c>
      <c r="E1047" s="4">
        <f>519.036004202478 * CHOOSE(CONTROL!$C$10, $C$13, 100%, $E$13) + CHOOSE(CONTROL!$C$29, 0.0021, 0)</f>
        <v>519.03810420247805</v>
      </c>
    </row>
    <row r="1048" spans="1:5" ht="15">
      <c r="A1048" s="13">
        <v>73050</v>
      </c>
      <c r="B1048" s="4">
        <f>78.7378 * CHOOSE(CONTROL!$C$10, $C$13, 100%, $E$13) + CHOOSE(CONTROL!$C$29, 0.0272, 0)</f>
        <v>78.764999999999986</v>
      </c>
      <c r="C1048" s="4">
        <f>78.3745 * CHOOSE(CONTROL!$C$10, $C$13, 100%, $E$13) + CHOOSE(CONTROL!$C$29, 0.0272, 0)</f>
        <v>78.401699999999991</v>
      </c>
      <c r="D1048" s="4">
        <f>94.9362 * CHOOSE(CONTROL!$C$10, $C$13, 100%, $E$13) + CHOOSE(CONTROL!$C$29, 0.0021, 0)</f>
        <v>94.938299999999998</v>
      </c>
      <c r="E1048" s="4">
        <f>510.907211428164 * CHOOSE(CONTROL!$C$10, $C$13, 100%, $E$13) + CHOOSE(CONTROL!$C$29, 0.0021, 0)</f>
        <v>510.90931142816396</v>
      </c>
    </row>
    <row r="1049" spans="1:5" ht="15">
      <c r="A1049" s="13">
        <v>73081</v>
      </c>
      <c r="B1049" s="4">
        <f>75.4866 * CHOOSE(CONTROL!$C$10, $C$13, 100%, $E$13) + CHOOSE(CONTROL!$C$29, 0.0272, 0)</f>
        <v>75.513799999999989</v>
      </c>
      <c r="C1049" s="4">
        <f>75.1233 * CHOOSE(CONTROL!$C$10, $C$13, 100%, $E$13) + CHOOSE(CONTROL!$C$29, 0.0272, 0)</f>
        <v>75.150499999999994</v>
      </c>
      <c r="D1049" s="4">
        <f>90.9878 * CHOOSE(CONTROL!$C$10, $C$13, 100%, $E$13) + CHOOSE(CONTROL!$C$29, 0.0021, 0)</f>
        <v>90.989899999999992</v>
      </c>
      <c r="E1049" s="4">
        <f>489.625850046648 * CHOOSE(CONTROL!$C$10, $C$13, 100%, $E$13) + CHOOSE(CONTROL!$C$29, 0.0021, 0)</f>
        <v>489.62795004664798</v>
      </c>
    </row>
    <row r="1050" spans="1:5" ht="15">
      <c r="A1050" s="13">
        <v>73109</v>
      </c>
      <c r="B1050" s="4">
        <f>77.2606 * CHOOSE(CONTROL!$C$10, $C$13, 100%, $E$13) + CHOOSE(CONTROL!$C$29, 0.0272, 0)</f>
        <v>77.28779999999999</v>
      </c>
      <c r="C1050" s="4">
        <f>76.8973 * CHOOSE(CONTROL!$C$10, $C$13, 100%, $E$13) + CHOOSE(CONTROL!$C$29, 0.0272, 0)</f>
        <v>76.924499999999995</v>
      </c>
      <c r="D1050" s="4">
        <f>94.1338 * CHOOSE(CONTROL!$C$10, $C$13, 100%, $E$13) + CHOOSE(CONTROL!$C$29, 0.0021, 0)</f>
        <v>94.135899999999992</v>
      </c>
      <c r="E1050" s="4">
        <f>501.25149729789 * CHOOSE(CONTROL!$C$10, $C$13, 100%, $E$13) + CHOOSE(CONTROL!$C$29, 0.0021, 0)</f>
        <v>501.25359729789</v>
      </c>
    </row>
    <row r="1051" spans="1:5" ht="15">
      <c r="A1051" s="13">
        <v>73140</v>
      </c>
      <c r="B1051" s="4">
        <f>81.9192 * CHOOSE(CONTROL!$C$10, $C$13, 100%, $E$13) + CHOOSE(CONTROL!$C$29, 0.0272, 0)</f>
        <v>81.946399999999997</v>
      </c>
      <c r="C1051" s="4">
        <f>81.5559 * CHOOSE(CONTROL!$C$10, $C$13, 100%, $E$13) + CHOOSE(CONTROL!$C$29, 0.0272, 0)</f>
        <v>81.583099999999988</v>
      </c>
      <c r="D1051" s="4">
        <f>99.0585 * CHOOSE(CONTROL!$C$10, $C$13, 100%, $E$13) + CHOOSE(CONTROL!$C$29, 0.0021, 0)</f>
        <v>99.060599999999994</v>
      </c>
      <c r="E1051" s="4">
        <f>531.781064804069 * CHOOSE(CONTROL!$C$10, $C$13, 100%, $E$13) + CHOOSE(CONTROL!$C$29, 0.0021, 0)</f>
        <v>531.78316480406909</v>
      </c>
    </row>
    <row r="1052" spans="1:5" ht="15">
      <c r="A1052" s="13">
        <v>73170</v>
      </c>
      <c r="B1052" s="4">
        <f>85.2292 * CHOOSE(CONTROL!$C$10, $C$13, 100%, $E$13) + CHOOSE(CONTROL!$C$29, 0.0272, 0)</f>
        <v>85.256399999999999</v>
      </c>
      <c r="C1052" s="4">
        <f>84.8659 * CHOOSE(CONTROL!$C$10, $C$13, 100%, $E$13) + CHOOSE(CONTROL!$C$29, 0.0272, 0)</f>
        <v>84.89309999999999</v>
      </c>
      <c r="D1052" s="4">
        <f>101.8954 * CHOOSE(CONTROL!$C$10, $C$13, 100%, $E$13) + CHOOSE(CONTROL!$C$29, 0.0021, 0)</f>
        <v>101.89749999999999</v>
      </c>
      <c r="E1052" s="4">
        <f>553.47272937719 * CHOOSE(CONTROL!$C$10, $C$13, 100%, $E$13) + CHOOSE(CONTROL!$C$29, 0.0021, 0)</f>
        <v>553.47482937719008</v>
      </c>
    </row>
    <row r="1053" spans="1:5" ht="15">
      <c r="A1053" s="13">
        <v>73201</v>
      </c>
      <c r="B1053" s="4">
        <f>87.2515 * CHOOSE(CONTROL!$C$10, $C$13, 100%, $E$13) + CHOOSE(CONTROL!$C$29, 0.0272, 0)</f>
        <v>87.278699999999986</v>
      </c>
      <c r="C1053" s="4">
        <f>86.8882 * CHOOSE(CONTROL!$C$10, $C$13, 100%, $E$13) + CHOOSE(CONTROL!$C$29, 0.0272, 0)</f>
        <v>86.915399999999991</v>
      </c>
      <c r="D1053" s="4">
        <f>100.7744 * CHOOSE(CONTROL!$C$10, $C$13, 100%, $E$13) + CHOOSE(CONTROL!$C$29, 0.0021, 0)</f>
        <v>100.7765</v>
      </c>
      <c r="E1053" s="4">
        <f>566.725816554724 * CHOOSE(CONTROL!$C$10, $C$13, 100%, $E$13) + CHOOSE(CONTROL!$C$29, 0.0021, 0)</f>
        <v>566.72791655472406</v>
      </c>
    </row>
    <row r="1054" spans="1:5" ht="15">
      <c r="A1054" s="13">
        <v>73231</v>
      </c>
      <c r="B1054" s="4">
        <f>87.5251 * CHOOSE(CONTROL!$C$10, $C$13, 100%, $E$13) + CHOOSE(CONTROL!$C$29, 0.0272, 0)</f>
        <v>87.552299999999988</v>
      </c>
      <c r="C1054" s="4">
        <f>87.1618 * CHOOSE(CONTROL!$C$10, $C$13, 100%, $E$13) + CHOOSE(CONTROL!$C$29, 0.0272, 0)</f>
        <v>87.188999999999993</v>
      </c>
      <c r="D1054" s="4">
        <f>101.6873 * CHOOSE(CONTROL!$C$10, $C$13, 100%, $E$13) + CHOOSE(CONTROL!$C$29, 0.0021, 0)</f>
        <v>101.68939999999999</v>
      </c>
      <c r="E1054" s="4">
        <f>568.519014251287 * CHOOSE(CONTROL!$C$10, $C$13, 100%, $E$13) + CHOOSE(CONTROL!$C$29, 0.0021, 0)</f>
        <v>568.52111425128703</v>
      </c>
    </row>
    <row r="1055" spans="1:5" ht="15">
      <c r="A1055" s="13">
        <v>73262</v>
      </c>
      <c r="B1055" s="4">
        <f>87.4975 * CHOOSE(CONTROL!$C$10, $C$13, 100%, $E$13) + CHOOSE(CONTROL!$C$29, 0.0272, 0)</f>
        <v>87.524699999999996</v>
      </c>
      <c r="C1055" s="4">
        <f>87.1342 * CHOOSE(CONTROL!$C$10, $C$13, 100%, $E$13) + CHOOSE(CONTROL!$C$29, 0.0272, 0)</f>
        <v>87.1614</v>
      </c>
      <c r="D1055" s="4">
        <f>103.3346 * CHOOSE(CONTROL!$C$10, $C$13, 100%, $E$13) + CHOOSE(CONTROL!$C$29, 0.0021, 0)</f>
        <v>103.33669999999999</v>
      </c>
      <c r="E1055" s="4">
        <f>568.33818759281 * CHOOSE(CONTROL!$C$10, $C$13, 100%, $E$13) + CHOOSE(CONTROL!$C$29, 0.0021, 0)</f>
        <v>568.34028759281</v>
      </c>
    </row>
    <row r="1056" spans="1:5" ht="15">
      <c r="A1056" s="13">
        <v>73293</v>
      </c>
      <c r="B1056" s="4">
        <f>89.5739 * CHOOSE(CONTROL!$C$10, $C$13, 100%, $E$13) + CHOOSE(CONTROL!$C$29, 0.0272, 0)</f>
        <v>89.601099999999988</v>
      </c>
      <c r="C1056" s="4">
        <f>89.2106 * CHOOSE(CONTROL!$C$10, $C$13, 100%, $E$13) + CHOOSE(CONTROL!$C$29, 0.0272, 0)</f>
        <v>89.237799999999993</v>
      </c>
      <c r="D1056" s="4">
        <f>102.2467 * CHOOSE(CONTROL!$C$10, $C$13, 100%, $E$13) + CHOOSE(CONTROL!$C$29, 0.0021, 0)</f>
        <v>102.2488</v>
      </c>
      <c r="E1056" s="4">
        <f>581.945393643194 * CHOOSE(CONTROL!$C$10, $C$13, 100%, $E$13) + CHOOSE(CONTROL!$C$29, 0.0021, 0)</f>
        <v>581.94749364319409</v>
      </c>
    </row>
    <row r="1057" spans="1:5" ht="15">
      <c r="A1057" s="13">
        <v>73323</v>
      </c>
      <c r="B1057" s="4">
        <f>86.0351 * CHOOSE(CONTROL!$C$10, $C$13, 100%, $E$13) + CHOOSE(CONTROL!$C$29, 0.0272, 0)</f>
        <v>86.062299999999993</v>
      </c>
      <c r="C1057" s="4">
        <f>85.6718 * CHOOSE(CONTROL!$C$10, $C$13, 100%, $E$13) + CHOOSE(CONTROL!$C$29, 0.0272, 0)</f>
        <v>85.698999999999998</v>
      </c>
      <c r="D1057" s="4">
        <f>101.7327 * CHOOSE(CONTROL!$C$10, $C$13, 100%, $E$13) + CHOOSE(CONTROL!$C$29, 0.0021, 0)</f>
        <v>101.73479999999999</v>
      </c>
      <c r="E1057" s="4">
        <f>558.754374693536 * CHOOSE(CONTROL!$C$10, $C$13, 100%, $E$13) + CHOOSE(CONTROL!$C$29, 0.0021, 0)</f>
        <v>558.75647469353601</v>
      </c>
    </row>
    <row r="1058" spans="1:5" ht="15">
      <c r="A1058" s="13">
        <v>73354</v>
      </c>
      <c r="B1058" s="4">
        <f>83.2022 * CHOOSE(CONTROL!$C$10, $C$13, 100%, $E$13) + CHOOSE(CONTROL!$C$29, 0.0272, 0)</f>
        <v>83.229399999999998</v>
      </c>
      <c r="C1058" s="4">
        <f>82.839 * CHOOSE(CONTROL!$C$10, $C$13, 100%, $E$13) + CHOOSE(CONTROL!$C$29, 0.0272, 0)</f>
        <v>82.866199999999992</v>
      </c>
      <c r="D1058" s="4">
        <f>100.3565 * CHOOSE(CONTROL!$C$10, $C$13, 100%, $E$13) + CHOOSE(CONTROL!$C$29, 0.0021, 0)</f>
        <v>100.3586</v>
      </c>
      <c r="E1058" s="4">
        <f>540.189504423243 * CHOOSE(CONTROL!$C$10, $C$13, 100%, $E$13) + CHOOSE(CONTROL!$C$29, 0.0021, 0)</f>
        <v>540.19160442324301</v>
      </c>
    </row>
    <row r="1059" spans="1:5" ht="15">
      <c r="A1059" s="13">
        <v>73384</v>
      </c>
      <c r="B1059" s="4">
        <f>81.3777 * CHOOSE(CONTROL!$C$10, $C$13, 100%, $E$13) + CHOOSE(CONTROL!$C$29, 0.0272, 0)</f>
        <v>81.404899999999998</v>
      </c>
      <c r="C1059" s="4">
        <f>81.0144 * CHOOSE(CONTROL!$C$10, $C$13, 100%, $E$13) + CHOOSE(CONTROL!$C$29, 0.0272, 0)</f>
        <v>81.041599999999988</v>
      </c>
      <c r="D1059" s="4">
        <f>99.8833 * CHOOSE(CONTROL!$C$10, $C$13, 100%, $E$13) + CHOOSE(CONTROL!$C$29, 0.0021, 0)</f>
        <v>99.885400000000004</v>
      </c>
      <c r="E1059" s="4">
        <f>528.23234163146 * CHOOSE(CONTROL!$C$10, $C$13, 100%, $E$13) + CHOOSE(CONTROL!$C$29, 0.0021, 0)</f>
        <v>528.23444163146007</v>
      </c>
    </row>
    <row r="1060" spans="1:5" ht="15">
      <c r="A1060" s="13">
        <v>73415</v>
      </c>
      <c r="B1060" s="4">
        <f>80.1153 * CHOOSE(CONTROL!$C$10, $C$13, 100%, $E$13) + CHOOSE(CONTROL!$C$29, 0.0272, 0)</f>
        <v>80.142499999999998</v>
      </c>
      <c r="C1060" s="4">
        <f>79.752 * CHOOSE(CONTROL!$C$10, $C$13, 100%, $E$13) + CHOOSE(CONTROL!$C$29, 0.0272, 0)</f>
        <v>79.779199999999989</v>
      </c>
      <c r="D1060" s="4">
        <f>96.3999 * CHOOSE(CONTROL!$C$10, $C$13, 100%, $E$13) + CHOOSE(CONTROL!$C$29, 0.0021, 0)</f>
        <v>96.402000000000001</v>
      </c>
      <c r="E1060" s="4">
        <f>519.959522006143 * CHOOSE(CONTROL!$C$10, $C$13, 100%, $E$13) + CHOOSE(CONTROL!$C$29, 0.0021, 0)</f>
        <v>519.96162200614299</v>
      </c>
    </row>
    <row r="1061" spans="1:5" ht="15">
      <c r="A1061" s="10"/>
      <c r="B1061" s="4"/>
      <c r="C1061" s="4"/>
      <c r="D1061" s="4"/>
      <c r="E1061" s="4"/>
    </row>
    <row r="1062" spans="1:5" ht="15">
      <c r="A1062" s="3">
        <v>2014</v>
      </c>
      <c r="B1062" s="4">
        <f>AVERAGE(B17:B28)</f>
        <v>15.77630376774867</v>
      </c>
      <c r="C1062" s="4">
        <f>AVERAGE(C17:C28)</f>
        <v>15.521049433113264</v>
      </c>
      <c r="D1062" s="4">
        <f>AVERAGE(D17:D28)</f>
        <v>22.641952086906802</v>
      </c>
      <c r="E1062" s="4">
        <f>AVERAGE(E17:E28)</f>
        <v>98.303550000000016</v>
      </c>
    </row>
    <row r="1063" spans="1:5" ht="15">
      <c r="A1063" s="3">
        <v>2015</v>
      </c>
      <c r="B1063" s="4">
        <f>AVERAGE(B29:B40)</f>
        <v>14.290883333333333</v>
      </c>
      <c r="C1063" s="4">
        <f>AVERAGE(C29:C40)</f>
        <v>13.9276</v>
      </c>
      <c r="D1063" s="4">
        <f>AVERAGE(D29:D40)</f>
        <v>20.882183333333334</v>
      </c>
      <c r="E1063" s="4">
        <f>AVERAGE(E29:E40)</f>
        <v>86.712100000000007</v>
      </c>
    </row>
    <row r="1064" spans="1:5" ht="15">
      <c r="A1064" s="3">
        <v>2016</v>
      </c>
      <c r="B1064" s="4">
        <f>AVERAGE(B41:B52)</f>
        <v>14.43735</v>
      </c>
      <c r="C1064" s="4">
        <f>AVERAGE(C41:C52)</f>
        <v>14.074066666666665</v>
      </c>
      <c r="D1064" s="4">
        <f>AVERAGE(D41:D52)</f>
        <v>20.92906666666666</v>
      </c>
      <c r="E1064" s="4">
        <f>AVERAGE(E41:E52)</f>
        <v>85.122100000000003</v>
      </c>
    </row>
    <row r="1065" spans="1:5" ht="15">
      <c r="A1065" s="3">
        <v>2017</v>
      </c>
      <c r="B1065" s="4">
        <f>AVERAGE(B53:B64)</f>
        <v>13.900491666666667</v>
      </c>
      <c r="C1065" s="4">
        <f>AVERAGE(C53:C64)</f>
        <v>13.537233333333333</v>
      </c>
      <c r="D1065" s="4">
        <f>AVERAGE(D53:D64)</f>
        <v>20.595091666666661</v>
      </c>
      <c r="E1065" s="4">
        <f>AVERAGE(E53:E64)</f>
        <v>83.573766666666685</v>
      </c>
    </row>
    <row r="1066" spans="1:5" ht="15">
      <c r="A1066" s="3">
        <v>2018</v>
      </c>
      <c r="B1066" s="4">
        <f>AVERAGE(B65:B76)</f>
        <v>14.09895</v>
      </c>
      <c r="C1066" s="4">
        <f>AVERAGE(C65:C76)</f>
        <v>13.735650000000001</v>
      </c>
      <c r="D1066" s="4">
        <f>AVERAGE(D65:D76)</f>
        <v>21.208316666666665</v>
      </c>
      <c r="E1066" s="4">
        <f>AVERAGE(E65:E76)</f>
        <v>86.373766666666697</v>
      </c>
    </row>
    <row r="1067" spans="1:5" ht="15">
      <c r="A1067" s="3">
        <v>2019</v>
      </c>
      <c r="B1067" s="4">
        <f>AVERAGE(B77:B88)</f>
        <v>15.283200000000001</v>
      </c>
      <c r="C1067" s="4">
        <f>AVERAGE(C77:C88)</f>
        <v>14.9199</v>
      </c>
      <c r="D1067" s="4">
        <f>AVERAGE(D77:D88)</f>
        <v>22.669483333333332</v>
      </c>
      <c r="E1067" s="4">
        <f>AVERAGE(E77:E88)</f>
        <v>97.912103662109402</v>
      </c>
    </row>
    <row r="1068" spans="1:5" ht="15">
      <c r="A1068" s="3">
        <v>2020</v>
      </c>
      <c r="B1068" s="4">
        <f>AVERAGE(B89:B100)</f>
        <v>16.710908333333332</v>
      </c>
      <c r="C1068" s="4">
        <f>AVERAGE(C89:C100)</f>
        <v>16.347616666666667</v>
      </c>
      <c r="D1068" s="4">
        <f>AVERAGE(D89:D100)</f>
        <v>24.256799999999998</v>
      </c>
      <c r="E1068" s="4">
        <f>AVERAGE(E89:E100)</f>
        <v>105.82058144531253</v>
      </c>
    </row>
    <row r="1069" spans="1:5" ht="15">
      <c r="A1069" s="3">
        <v>2021</v>
      </c>
      <c r="B1069" s="4">
        <f>AVERAGE(B101:B112)</f>
        <v>18.058391666666669</v>
      </c>
      <c r="C1069" s="4">
        <f>AVERAGE(C101:C112)</f>
        <v>17.695116666666667</v>
      </c>
      <c r="D1069" s="4">
        <f>AVERAGE(D101:D112)</f>
        <v>25.826374999999999</v>
      </c>
      <c r="E1069" s="4">
        <f>AVERAGE(E101:E112)</f>
        <v>113.63031960449217</v>
      </c>
    </row>
    <row r="1070" spans="1:5" ht="15">
      <c r="A1070" s="3">
        <v>2022</v>
      </c>
      <c r="B1070" s="4">
        <f>AVERAGE(B113:B124)</f>
        <v>18.350158333333336</v>
      </c>
      <c r="C1070" s="4">
        <f>AVERAGE(C113:C124)</f>
        <v>17.986883333333335</v>
      </c>
      <c r="D1070" s="4">
        <f>AVERAGE(D113:D124)</f>
        <v>26.657258333333331</v>
      </c>
      <c r="E1070" s="4">
        <f>AVERAGE(E113:E124)</f>
        <v>116.5329914184569</v>
      </c>
    </row>
    <row r="1071" spans="1:5" ht="15">
      <c r="A1071" s="3">
        <v>2023</v>
      </c>
      <c r="B1071" s="4">
        <f>AVERAGE(B125:B136)</f>
        <v>18.879950000000004</v>
      </c>
      <c r="C1071" s="4">
        <f>AVERAGE(C125:C136)</f>
        <v>18.516666666666669</v>
      </c>
      <c r="D1071" s="4">
        <f>AVERAGE(D125:D136)</f>
        <v>27.440650000000002</v>
      </c>
      <c r="E1071" s="4">
        <f>AVERAGE(E125:E136)</f>
        <v>119.758562097168</v>
      </c>
    </row>
    <row r="1072" spans="1:5" ht="15">
      <c r="A1072" s="3">
        <v>2024</v>
      </c>
      <c r="B1072" s="4">
        <f>AVERAGE(B137:B148)</f>
        <v>19.705274999999997</v>
      </c>
      <c r="C1072" s="4">
        <f>AVERAGE(C137:C148)</f>
        <v>19.342000000000002</v>
      </c>
      <c r="D1072" s="4">
        <f>AVERAGE(D137:D148)</f>
        <v>28.411291666666667</v>
      </c>
      <c r="E1072" s="4">
        <f>AVERAGE(E137:E148)</f>
        <v>124.67524910888675</v>
      </c>
    </row>
    <row r="1073" spans="1:5" ht="15">
      <c r="A1073" s="3">
        <v>2025</v>
      </c>
      <c r="B1073" s="4">
        <f>AVERAGE(B149:B160)</f>
        <v>20.657975</v>
      </c>
      <c r="C1073" s="4">
        <f>AVERAGE(C149:C160)</f>
        <v>20.294691666666669</v>
      </c>
      <c r="D1073" s="4">
        <f>AVERAGE(D149:D160)</f>
        <v>29.433124999999993</v>
      </c>
      <c r="E1073" s="4">
        <f>AVERAGE(E149:E160)</f>
        <v>129.78988076171882</v>
      </c>
    </row>
    <row r="1074" spans="1:5" ht="15">
      <c r="A1074" s="3">
        <v>2026</v>
      </c>
      <c r="B1074" s="4">
        <f>AVERAGE(B161:B172)</f>
        <v>21.472558333333335</v>
      </c>
      <c r="C1074" s="4">
        <f>AVERAGE(C161:C172)</f>
        <v>21.109316666666668</v>
      </c>
      <c r="D1074" s="4">
        <f>AVERAGE(D161:D172)</f>
        <v>30.438866666666659</v>
      </c>
      <c r="E1074" s="4">
        <f>AVERAGE(E161:E172)</f>
        <v>135.11034584960936</v>
      </c>
    </row>
    <row r="1075" spans="1:5" ht="15">
      <c r="A1075" s="3">
        <v>2027</v>
      </c>
      <c r="B1075" s="4">
        <f>AVERAGE(B173:B184)</f>
        <v>22.328508333333332</v>
      </c>
      <c r="C1075" s="4">
        <f>AVERAGE(C173:C184)</f>
        <v>21.965224999999993</v>
      </c>
      <c r="D1075" s="4">
        <f>AVERAGE(D173:D184)</f>
        <v>31.481408333333334</v>
      </c>
      <c r="E1075" s="4">
        <f>AVERAGE(E173:E184)</f>
        <v>140.6449680419922</v>
      </c>
    </row>
    <row r="1076" spans="1:5" ht="15">
      <c r="A1076" s="3">
        <v>2028</v>
      </c>
      <c r="B1076" s="4">
        <f>AVERAGE(B185:B196)</f>
        <v>23.180266666666665</v>
      </c>
      <c r="C1076" s="4">
        <f>AVERAGE(C185:C196)</f>
        <v>22.816975000000003</v>
      </c>
      <c r="D1076" s="4">
        <f>AVERAGE(D185:D196)</f>
        <v>32.500441666666667</v>
      </c>
      <c r="E1076" s="4">
        <f>AVERAGE(E185:E196)</f>
        <v>146.40223122558592</v>
      </c>
    </row>
    <row r="1077" spans="1:5" ht="15">
      <c r="A1077" s="3">
        <v>2029</v>
      </c>
      <c r="B1077" s="4">
        <f>AVERAGE(B197:B208)</f>
        <v>24.115133333333333</v>
      </c>
      <c r="C1077" s="4">
        <f>AVERAGE(C197:C208)</f>
        <v>23.751841666666667</v>
      </c>
      <c r="D1077" s="4">
        <f>AVERAGE(D197:D208)</f>
        <v>33.511316666666666</v>
      </c>
      <c r="E1077" s="4">
        <f>AVERAGE(E197:E208)</f>
        <v>152.39110756835933</v>
      </c>
    </row>
    <row r="1078" spans="1:5" ht="15">
      <c r="A1078" s="3">
        <v>2030</v>
      </c>
      <c r="B1078" s="4">
        <f>AVERAGE(B209:B220)</f>
        <v>25.089966666666669</v>
      </c>
      <c r="C1078" s="4">
        <f>AVERAGE(C209:C220)</f>
        <v>24.726683333333341</v>
      </c>
      <c r="D1078" s="4">
        <f>AVERAGE(D209:D220)</f>
        <v>34.571149999999996</v>
      </c>
      <c r="E1078" s="4">
        <f>AVERAGE(E209:E220)</f>
        <v>158.63532448730487</v>
      </c>
    </row>
    <row r="1079" spans="1:5" ht="15">
      <c r="A1079" s="3">
        <v>2031</v>
      </c>
      <c r="B1079" s="4">
        <f>AVERAGE(B221:B232)</f>
        <v>25.519108333333335</v>
      </c>
      <c r="C1079" s="4">
        <f>AVERAGE(C221:C232)</f>
        <v>25.155833333333334</v>
      </c>
      <c r="D1079" s="4">
        <f>AVERAGE(D221:D232)</f>
        <v>35.085624999999993</v>
      </c>
      <c r="E1079" s="4">
        <f>AVERAGE(E221:E232)</f>
        <v>161.44600553451718</v>
      </c>
    </row>
    <row r="1080" spans="1:5" ht="15">
      <c r="A1080" s="3">
        <v>2032</v>
      </c>
      <c r="B1080" s="4">
        <f>AVERAGE(B233:B244)</f>
        <v>25.955833333333342</v>
      </c>
      <c r="C1080" s="4">
        <f>AVERAGE(C233:C244)</f>
        <v>25.592558333333333</v>
      </c>
      <c r="D1080" s="4">
        <f>AVERAGE(D233:D244)</f>
        <v>35.608200000000004</v>
      </c>
      <c r="E1080" s="4">
        <f>AVERAGE(E233:E244)</f>
        <v>164.30648653993319</v>
      </c>
    </row>
    <row r="1081" spans="1:5" ht="15">
      <c r="A1081" s="3">
        <v>2033</v>
      </c>
      <c r="B1081" s="4">
        <f>AVERAGE(B245:B256)</f>
        <v>26.400283333333338</v>
      </c>
      <c r="C1081" s="4">
        <f>AVERAGE(C245:C256)</f>
        <v>26.037016666666663</v>
      </c>
      <c r="D1081" s="4">
        <f>AVERAGE(D245:D256)</f>
        <v>36.138975000000002</v>
      </c>
      <c r="E1081" s="4">
        <f>AVERAGE(E245:E256)</f>
        <v>167.21764986472959</v>
      </c>
    </row>
    <row r="1082" spans="1:5" ht="15">
      <c r="A1082" s="3">
        <v>2034</v>
      </c>
      <c r="B1082" s="4">
        <f>AVERAGE(B257:B268)</f>
        <v>26.852591666666672</v>
      </c>
      <c r="C1082" s="4">
        <f>AVERAGE(C257:C268)</f>
        <v>26.489324999999997</v>
      </c>
      <c r="D1082" s="4">
        <f>AVERAGE(D257:D268)</f>
        <v>36.678116666666668</v>
      </c>
      <c r="E1082" s="4">
        <f>AVERAGE(E257:E268)</f>
        <v>170.18039350385683</v>
      </c>
    </row>
    <row r="1083" spans="1:5" ht="15">
      <c r="A1083" s="3">
        <v>2035</v>
      </c>
      <c r="B1083" s="4">
        <f>AVERAGE(B269:B280)</f>
        <v>27.312891666666669</v>
      </c>
      <c r="C1083" s="4">
        <f>AVERAGE(C269:C280)</f>
        <v>26.949616666666671</v>
      </c>
      <c r="D1083" s="4">
        <f>AVERAGE(D269:D280)</f>
        <v>37.225733333333331</v>
      </c>
      <c r="E1083" s="4">
        <f>AVERAGE(E269:E280)</f>
        <v>173.19563136303884</v>
      </c>
    </row>
    <row r="1084" spans="1:5" ht="15">
      <c r="A1084" s="3">
        <v>2036</v>
      </c>
      <c r="B1084" s="4">
        <f>AVERAGE(B281:B292)</f>
        <v>27.781333333333333</v>
      </c>
      <c r="C1084" s="4">
        <f>AVERAGE(C281:C292)</f>
        <v>27.418033333333337</v>
      </c>
      <c r="D1084" s="4">
        <f>AVERAGE(D281:D292)</f>
        <v>37.781941666666661</v>
      </c>
      <c r="E1084" s="4">
        <f>AVERAGE(E281:E292)</f>
        <v>176.26429354068276</v>
      </c>
    </row>
    <row r="1085" spans="1:5" ht="15">
      <c r="A1085" s="3">
        <v>2037</v>
      </c>
      <c r="B1085" s="4">
        <f>AVERAGE(B293:B304)</f>
        <v>28.258016666666663</v>
      </c>
      <c r="C1085" s="4">
        <f>AVERAGE(C293:C304)</f>
        <v>27.894750000000002</v>
      </c>
      <c r="D1085" s="4">
        <f>AVERAGE(D293:D304)</f>
        <v>38.346916666666665</v>
      </c>
      <c r="E1085" s="4">
        <f>AVERAGE(E293:E304)</f>
        <v>179.38732661478232</v>
      </c>
    </row>
    <row r="1086" spans="1:5" ht="15">
      <c r="A1086" s="3">
        <f t="shared" ref="A1086:A1117" si="0">A1085+1</f>
        <v>2038</v>
      </c>
      <c r="B1086" s="4">
        <f>AVERAGE(B305:B316)</f>
        <v>28.743133333333333</v>
      </c>
      <c r="C1086" s="4">
        <f>AVERAGE(C305:C316)</f>
        <v>28.379850000000001</v>
      </c>
      <c r="D1086" s="4">
        <f>AVERAGE(D305:D316)</f>
        <v>38.920758333333332</v>
      </c>
      <c r="E1086" s="4">
        <f>AVERAGE(E305:E316)</f>
        <v>182.56569393490452</v>
      </c>
    </row>
    <row r="1087" spans="1:5" ht="15">
      <c r="A1087" s="3">
        <f t="shared" si="0"/>
        <v>2039</v>
      </c>
      <c r="B1087" s="4">
        <f>AVERAGE(B317:B328)</f>
        <v>29.23685</v>
      </c>
      <c r="C1087" s="4">
        <f>AVERAGE(C317:C328)</f>
        <v>28.873558333333332</v>
      </c>
      <c r="D1087" s="4">
        <f>AVERAGE(D317:D328)</f>
        <v>39.503633333333326</v>
      </c>
      <c r="E1087" s="4">
        <f>AVERAGE(E317:E328)</f>
        <v>185.80037591935158</v>
      </c>
    </row>
    <row r="1088" spans="1:5" ht="15">
      <c r="A1088" s="3">
        <f t="shared" si="0"/>
        <v>2040</v>
      </c>
      <c r="B1088" s="4">
        <f>AVERAGE(B329:B340)</f>
        <v>29.739241666666668</v>
      </c>
      <c r="C1088" s="4">
        <f>AVERAGE(C329:C340)</f>
        <v>29.375983333333334</v>
      </c>
      <c r="D1088" s="4">
        <f>AVERAGE(D329:D340)</f>
        <v>40.095675000000007</v>
      </c>
      <c r="E1088" s="4">
        <f>AVERAGE(E329:E340)</f>
        <v>189.09237035758494</v>
      </c>
    </row>
    <row r="1089" spans="1:5" ht="15">
      <c r="A1089" s="3">
        <f t="shared" si="0"/>
        <v>2041</v>
      </c>
      <c r="B1089" s="4">
        <f>AVERAGE(B341:B352)</f>
        <v>30.250558333333334</v>
      </c>
      <c r="C1089" s="4">
        <f>AVERAGE(C341:C352)</f>
        <v>29.887275000000002</v>
      </c>
      <c r="D1089" s="4">
        <f>AVERAGE(D341:D352)</f>
        <v>40.69701666666667</v>
      </c>
      <c r="E1089" s="4">
        <f>AVERAGE(E341:E352)</f>
        <v>192.4426927180115</v>
      </c>
    </row>
    <row r="1090" spans="1:5" ht="15">
      <c r="A1090" s="3">
        <f t="shared" si="0"/>
        <v>2042</v>
      </c>
      <c r="B1090" s="4">
        <f>AVERAGE(B353:B364)</f>
        <v>30.770899999999997</v>
      </c>
      <c r="C1090" s="4">
        <f>AVERAGE(C353:C364)</f>
        <v>30.407600000000002</v>
      </c>
      <c r="D1090" s="4">
        <f>AVERAGE(D353:D364)</f>
        <v>41.307825000000001</v>
      </c>
      <c r="E1090" s="4">
        <f>AVERAGE(E353:E364)</f>
        <v>195.8523764612182</v>
      </c>
    </row>
    <row r="1091" spans="1:5" ht="15">
      <c r="A1091" s="3">
        <f t="shared" si="0"/>
        <v>2043</v>
      </c>
      <c r="B1091" s="4">
        <f>AVERAGE(B365:B376)</f>
        <v>31.300416666666674</v>
      </c>
      <c r="C1091" s="4">
        <f>AVERAGE(C365:C376)</f>
        <v>30.937133333333332</v>
      </c>
      <c r="D1091" s="4">
        <f>AVERAGE(D365:D376)</f>
        <v>41.928225000000005</v>
      </c>
      <c r="E1091" s="4">
        <f>AVERAGE(E365:E376)</f>
        <v>199.32247335876261</v>
      </c>
    </row>
    <row r="1092" spans="1:5" ht="15">
      <c r="A1092" s="3">
        <f t="shared" si="0"/>
        <v>2044</v>
      </c>
      <c r="B1092" s="4">
        <f>AVERAGE(B377:B388)</f>
        <v>31.839283333333331</v>
      </c>
      <c r="C1092" s="4">
        <f>AVERAGE(C377:C388)</f>
        <v>31.476008333333329</v>
      </c>
      <c r="D1092" s="4">
        <f>AVERAGE(D377:D388)</f>
        <v>42.558399999999999</v>
      </c>
      <c r="E1092" s="4">
        <f>AVERAGE(E377:E388)</f>
        <v>202.85405381760651</v>
      </c>
    </row>
    <row r="1093" spans="1:5" ht="15">
      <c r="A1093" s="3">
        <f t="shared" si="0"/>
        <v>2045</v>
      </c>
      <c r="B1093" s="4">
        <f>AVERAGE(B389:B400)</f>
        <v>32.387683333333335</v>
      </c>
      <c r="C1093" s="4">
        <f>AVERAGE(C389:C400)</f>
        <v>32.02441666666666</v>
      </c>
      <c r="D1093" s="4">
        <f>AVERAGE(D389:D400)</f>
        <v>43.198491666666662</v>
      </c>
      <c r="E1093" s="4">
        <f>AVERAGE(E389:E400)</f>
        <v>206.44820721030115</v>
      </c>
    </row>
    <row r="1094" spans="1:5" ht="15">
      <c r="A1094" s="3">
        <f t="shared" si="0"/>
        <v>2046</v>
      </c>
      <c r="B1094" s="4">
        <f>AVERAGE(B401:B412)</f>
        <v>32.945775000000005</v>
      </c>
      <c r="C1094" s="4">
        <f>AVERAGE(C401:C412)</f>
        <v>32.582508333333344</v>
      </c>
      <c r="D1094" s="4">
        <f>AVERAGE(D401:D412)</f>
        <v>43.848616666666658</v>
      </c>
      <c r="E1094" s="4">
        <f>AVERAGE(E401:E412)</f>
        <v>210.10604221102167</v>
      </c>
    </row>
    <row r="1095" spans="1:5" ht="15">
      <c r="A1095" s="3">
        <f t="shared" si="0"/>
        <v>2047</v>
      </c>
      <c r="B1095" s="4">
        <f>AVERAGE(B413:B424)</f>
        <v>33.513716666666674</v>
      </c>
      <c r="C1095" s="4">
        <f>AVERAGE(C413:C424)</f>
        <v>33.150433333333332</v>
      </c>
      <c r="D1095" s="4">
        <f>AVERAGE(D413:D424)</f>
        <v>44.508999999999993</v>
      </c>
      <c r="E1095" s="4">
        <f>AVERAGE(E413:E424)</f>
        <v>213.82868713755394</v>
      </c>
    </row>
    <row r="1096" spans="1:5" ht="15">
      <c r="A1096" s="3">
        <f t="shared" si="0"/>
        <v>2048</v>
      </c>
      <c r="B1096" s="4">
        <f>AVERAGE(B425:B436)</f>
        <v>34.091708333333337</v>
      </c>
      <c r="C1096" s="4">
        <f>AVERAGE(C425:C436)</f>
        <v>33.728433333333335</v>
      </c>
      <c r="D1096" s="4">
        <f>AVERAGE(D425:D436)</f>
        <v>45.179733333333331</v>
      </c>
      <c r="E1096" s="4">
        <f>AVERAGE(E425:E436)</f>
        <v>217.61729029934466</v>
      </c>
    </row>
    <row r="1097" spans="1:5" ht="15">
      <c r="A1097" s="3">
        <f t="shared" si="0"/>
        <v>2049</v>
      </c>
      <c r="B1097" s="4">
        <f>AVERAGE(B437:B448)</f>
        <v>34.679933333333331</v>
      </c>
      <c r="C1097" s="4">
        <f>AVERAGE(C437:C448)</f>
        <v>34.316633333333336</v>
      </c>
      <c r="D1097" s="4">
        <f>AVERAGE(D437:D448)</f>
        <v>45.861033333333332</v>
      </c>
      <c r="E1097" s="4">
        <f>AVERAGE(E437:E448)</f>
        <v>221.47302035171359</v>
      </c>
    </row>
    <row r="1098" spans="1:5" ht="15">
      <c r="A1098" s="3">
        <f t="shared" si="0"/>
        <v>2050</v>
      </c>
      <c r="B1098" s="4">
        <f>AVERAGE(B449:B460)</f>
        <v>35.278491666666667</v>
      </c>
      <c r="C1098" s="4">
        <f>AVERAGE(C449:C460)</f>
        <v>34.915208333333332</v>
      </c>
      <c r="D1098" s="4">
        <f>AVERAGE(D449:D460)</f>
        <v>46.553033333333332</v>
      </c>
      <c r="E1098" s="4">
        <f>AVERAGE(E449:E460)</f>
        <v>225.39706665634552</v>
      </c>
    </row>
    <row r="1099" spans="1:5" ht="15">
      <c r="A1099" s="3">
        <f t="shared" si="0"/>
        <v>2051</v>
      </c>
      <c r="B1099" s="4">
        <f>AVERAGE(B461:B472)</f>
        <v>35.887658333333341</v>
      </c>
      <c r="C1099" s="4">
        <f>AVERAGE(C461:C472)</f>
        <v>35.524374999999999</v>
      </c>
      <c r="D1099" s="4">
        <f>AVERAGE(D461:D472)</f>
        <v>47.255916666666671</v>
      </c>
      <c r="E1099" s="4">
        <f>AVERAGE(E461:E472)</f>
        <v>229.39063964816702</v>
      </c>
    </row>
    <row r="1100" spans="1:5" ht="15">
      <c r="A1100" s="3">
        <f t="shared" si="0"/>
        <v>2052</v>
      </c>
      <c r="B1100" s="4">
        <f>AVERAGE(B473:B484)</f>
        <v>36.507575000000003</v>
      </c>
      <c r="C1100" s="4">
        <f>AVERAGE(C473:C484)</f>
        <v>36.144316666666668</v>
      </c>
      <c r="D1100" s="4">
        <f>AVERAGE(D473:D484)</f>
        <v>47.969866666666668</v>
      </c>
      <c r="E1100" s="4">
        <f>AVERAGE(E473:E484)</f>
        <v>233.45497120872497</v>
      </c>
    </row>
    <row r="1101" spans="1:5" ht="15">
      <c r="A1101" s="3">
        <f t="shared" si="0"/>
        <v>2053</v>
      </c>
      <c r="B1101" s="4">
        <f>AVERAGE(B485:B496)</f>
        <v>37.13845833333334</v>
      </c>
      <c r="C1101" s="4">
        <f>AVERAGE(C485:C496)</f>
        <v>36.775174999999997</v>
      </c>
      <c r="D1101" s="4">
        <f>AVERAGE(D485:D496)</f>
        <v>48.695024999999994</v>
      </c>
      <c r="E1101" s="4">
        <f>AVERAGE(E485:E496)</f>
        <v>237.59131504618009</v>
      </c>
    </row>
    <row r="1102" spans="1:5" ht="15">
      <c r="A1102" s="3">
        <f t="shared" si="0"/>
        <v>2054</v>
      </c>
      <c r="B1102" s="4">
        <f>AVERAGE(B497:B508)</f>
        <v>37.780491666666663</v>
      </c>
      <c r="C1102" s="4">
        <f>AVERAGE(C497:C508)</f>
        <v>37.417225000000002</v>
      </c>
      <c r="D1102" s="4">
        <f>AVERAGE(D497:D508)</f>
        <v>49.431616666666663</v>
      </c>
      <c r="E1102" s="4">
        <f>AVERAGE(E497:E508)</f>
        <v>241.80094708203276</v>
      </c>
    </row>
    <row r="1103" spans="1:5" ht="15">
      <c r="A1103" s="3">
        <f t="shared" si="0"/>
        <v>2055</v>
      </c>
      <c r="B1103" s="4">
        <f>AVERAGE(B509:B520)</f>
        <v>38.433866666666667</v>
      </c>
      <c r="C1103" s="4">
        <f>AVERAGE(C509:C520)</f>
        <v>38.070574999999998</v>
      </c>
      <c r="D1103" s="4">
        <f>AVERAGE(D509:D520)</f>
        <v>50.179775000000006</v>
      </c>
      <c r="E1103" s="4">
        <f>AVERAGE(E509:E520)</f>
        <v>246.0851658447024</v>
      </c>
    </row>
    <row r="1104" spans="1:5" ht="15">
      <c r="A1104" s="3">
        <f t="shared" si="0"/>
        <v>2056</v>
      </c>
      <c r="B1104" s="4">
        <f>AVERAGE(B521:B532)</f>
        <v>39.098774999999996</v>
      </c>
      <c r="C1104" s="4">
        <f>AVERAGE(C521:C532)</f>
        <v>38.735500000000009</v>
      </c>
      <c r="D1104" s="4">
        <f>AVERAGE(D521:D532)</f>
        <v>50.939691666666654</v>
      </c>
      <c r="E1104" s="4">
        <f>AVERAGE(E521:E532)</f>
        <v>250.44529287007845</v>
      </c>
    </row>
    <row r="1105" spans="1:5" ht="15">
      <c r="A1105" s="3">
        <f t="shared" si="0"/>
        <v>2057</v>
      </c>
      <c r="B1105" s="4">
        <f>AVERAGE(B533:B544)</f>
        <v>39.775433333333332</v>
      </c>
      <c r="C1105" s="4">
        <f>AVERAGE(C533:C544)</f>
        <v>39.412150000000004</v>
      </c>
      <c r="D1105" s="4">
        <f>AVERAGE(D533:D544)</f>
        <v>51.711575000000003</v>
      </c>
      <c r="E1105" s="4">
        <f>AVERAGE(E533:E544)</f>
        <v>254.88267310916979</v>
      </c>
    </row>
    <row r="1106" spans="1:5" ht="15">
      <c r="A1106" s="3">
        <f t="shared" si="0"/>
        <v>2058</v>
      </c>
      <c r="B1106" s="4">
        <f>AVERAGE(B545:B556)</f>
        <v>40.464058333333334</v>
      </c>
      <c r="C1106" s="4">
        <f>AVERAGE(C545:C556)</f>
        <v>40.100791666666659</v>
      </c>
      <c r="D1106" s="4">
        <f>AVERAGE(D545:D556)</f>
        <v>52.495558333333342</v>
      </c>
      <c r="E1106" s="4">
        <f>AVERAGE(E545:E556)</f>
        <v>259.39867534297633</v>
      </c>
    </row>
    <row r="1107" spans="1:5" ht="15">
      <c r="A1107" s="3">
        <f t="shared" si="0"/>
        <v>2059</v>
      </c>
      <c r="B1107" s="4">
        <f>AVERAGE(B557:B568)</f>
        <v>41.164833333333341</v>
      </c>
      <c r="C1107" s="4">
        <f>AVERAGE(C557:C568)</f>
        <v>40.801575</v>
      </c>
      <c r="D1107" s="4">
        <f>AVERAGE(D557:D568)</f>
        <v>53.291908333333332</v>
      </c>
      <c r="E1107" s="4">
        <f>AVERAGE(E557:E568)</f>
        <v>263.99469260471102</v>
      </c>
    </row>
    <row r="1108" spans="1:5" ht="15">
      <c r="A1108" s="3">
        <f t="shared" si="0"/>
        <v>2060</v>
      </c>
      <c r="B1108" s="4">
        <f>AVERAGE(B569:B580)</f>
        <v>41.878008333333334</v>
      </c>
      <c r="C1108" s="4">
        <f>AVERAGE(C569:C580)</f>
        <v>41.514716666666665</v>
      </c>
      <c r="D1108" s="4">
        <f>AVERAGE(D569:D580)</f>
        <v>54.100766666666665</v>
      </c>
      <c r="E1108" s="4">
        <f>AVERAGE(E569:E580)</f>
        <v>268.67214260950431</v>
      </c>
    </row>
    <row r="1109" spans="1:5" ht="15">
      <c r="A1109" s="3">
        <f t="shared" si="0"/>
        <v>2061</v>
      </c>
      <c r="B1109" s="4">
        <f>AVERAGE(B581:B592)</f>
        <v>42.603774999999999</v>
      </c>
      <c r="C1109" s="4">
        <f>AVERAGE(C581:C592)</f>
        <v>42.240491666666664</v>
      </c>
      <c r="D1109" s="4">
        <f>AVERAGE(D581:D592)</f>
        <v>54.922325000000001</v>
      </c>
      <c r="E1109" s="4">
        <f>AVERAGE(E581:E592)</f>
        <v>273.43246819172003</v>
      </c>
    </row>
    <row r="1110" spans="1:5" ht="15">
      <c r="A1110" s="3">
        <f t="shared" si="0"/>
        <v>2062</v>
      </c>
      <c r="B1110" s="4">
        <f t="shared" ref="B1110:E1129" ca="1" si="1">AVERAGE(OFFSET(B$593,($A1110-$A$1110)*12,0,12,1))</f>
        <v>43.34235833333333</v>
      </c>
      <c r="C1110" s="4">
        <f t="shared" ca="1" si="1"/>
        <v>42.979075000000002</v>
      </c>
      <c r="D1110" s="4">
        <f t="shared" ca="1" si="1"/>
        <v>55.756824999999992</v>
      </c>
      <c r="E1110" s="4">
        <f t="shared" ca="1" si="1"/>
        <v>278.27713775002132</v>
      </c>
    </row>
    <row r="1111" spans="1:5" ht="15">
      <c r="A1111" s="3">
        <f t="shared" si="0"/>
        <v>2063</v>
      </c>
      <c r="B1111" s="4">
        <f t="shared" ca="1" si="1"/>
        <v>44.094008333333335</v>
      </c>
      <c r="C1111" s="4">
        <f t="shared" ca="1" si="1"/>
        <v>43.730725000000007</v>
      </c>
      <c r="D1111" s="4">
        <f t="shared" ca="1" si="1"/>
        <v>56.604458333333334</v>
      </c>
      <c r="E1111" s="4">
        <f t="shared" ca="1" si="1"/>
        <v>283.20764570032071</v>
      </c>
    </row>
    <row r="1112" spans="1:5" ht="15">
      <c r="A1112" s="3">
        <f t="shared" si="0"/>
        <v>2064</v>
      </c>
      <c r="B1112" s="4">
        <f t="shared" ca="1" si="1"/>
        <v>44.858924999999999</v>
      </c>
      <c r="C1112" s="4">
        <f t="shared" ca="1" si="1"/>
        <v>44.495641666666664</v>
      </c>
      <c r="D1112" s="4">
        <f t="shared" ca="1" si="1"/>
        <v>57.46540000000001</v>
      </c>
      <c r="E1112" s="4">
        <f t="shared" ca="1" si="1"/>
        <v>288.22551293675883</v>
      </c>
    </row>
    <row r="1113" spans="1:5" ht="15">
      <c r="A1113" s="3">
        <f t="shared" si="0"/>
        <v>2065</v>
      </c>
      <c r="B1113" s="4">
        <f t="shared" ca="1" si="1"/>
        <v>45.637358333333339</v>
      </c>
      <c r="C1113" s="4">
        <f t="shared" ca="1" si="1"/>
        <v>45.27408333333333</v>
      </c>
      <c r="D1113" s="4">
        <f t="shared" ca="1" si="1"/>
        <v>58.339900000000007</v>
      </c>
      <c r="E1113" s="4">
        <f t="shared" ca="1" si="1"/>
        <v>293.33228730084556</v>
      </c>
    </row>
    <row r="1114" spans="1:5" ht="15">
      <c r="A1114" s="3">
        <f t="shared" si="0"/>
        <v>2066</v>
      </c>
      <c r="B1114" s="4">
        <f t="shared" ca="1" si="1"/>
        <v>46.429550000000006</v>
      </c>
      <c r="C1114" s="4">
        <f t="shared" ca="1" si="1"/>
        <v>46.066258333333337</v>
      </c>
      <c r="D1114" s="4">
        <f t="shared" ca="1" si="1"/>
        <v>59.228141666666659</v>
      </c>
      <c r="E1114" s="4">
        <f t="shared" ca="1" si="1"/>
        <v>298.52954405892001</v>
      </c>
    </row>
    <row r="1115" spans="1:5" ht="15">
      <c r="A1115" s="3">
        <f t="shared" si="0"/>
        <v>2067</v>
      </c>
      <c r="B1115" s="4">
        <f t="shared" ca="1" si="1"/>
        <v>47.235725000000002</v>
      </c>
      <c r="C1115" s="4">
        <f t="shared" ca="1" si="1"/>
        <v>46.872441666666667</v>
      </c>
      <c r="D1115" s="4">
        <f t="shared" ca="1" si="1"/>
        <v>60.13035</v>
      </c>
      <c r="E1115" s="4">
        <f t="shared" ca="1" si="1"/>
        <v>303.81888638806316</v>
      </c>
    </row>
    <row r="1116" spans="1:5" ht="15">
      <c r="A1116" s="3">
        <f t="shared" si="0"/>
        <v>2068</v>
      </c>
      <c r="B1116" s="4">
        <f t="shared" ca="1" si="1"/>
        <v>48.056149999999995</v>
      </c>
      <c r="C1116" s="4">
        <f t="shared" ca="1" si="1"/>
        <v>47.692883333333327</v>
      </c>
      <c r="D1116" s="4">
        <f t="shared" ca="1" si="1"/>
        <v>61.046725000000002</v>
      </c>
      <c r="E1116" s="4">
        <f t="shared" ca="1" si="1"/>
        <v>309.20194587062622</v>
      </c>
    </row>
    <row r="1117" spans="1:5" ht="15">
      <c r="A1117" s="3">
        <f t="shared" si="0"/>
        <v>2069</v>
      </c>
      <c r="B1117" s="4">
        <f t="shared" ca="1" si="1"/>
        <v>48.891083333333334</v>
      </c>
      <c r="C1117" s="4">
        <f t="shared" ca="1" si="1"/>
        <v>48.527799999999992</v>
      </c>
      <c r="D1117" s="4">
        <f t="shared" ca="1" si="1"/>
        <v>61.977533333333326</v>
      </c>
      <c r="E1117" s="4">
        <f t="shared" ca="1" si="1"/>
        <v>314.6803829975164</v>
      </c>
    </row>
    <row r="1118" spans="1:5" ht="15">
      <c r="A1118" s="3">
        <f t="shared" ref="A1118:A1148" si="2">A1117+1</f>
        <v>2070</v>
      </c>
      <c r="B1118" s="4">
        <f t="shared" ca="1" si="1"/>
        <v>49.740758333333339</v>
      </c>
      <c r="C1118" s="4">
        <f t="shared" ca="1" si="1"/>
        <v>49.377475000000004</v>
      </c>
      <c r="D1118" s="4">
        <f t="shared" ca="1" si="1"/>
        <v>62.922975000000001</v>
      </c>
      <c r="E1118" s="4">
        <f t="shared" ca="1" si="1"/>
        <v>320.25588768040365</v>
      </c>
    </row>
    <row r="1119" spans="1:5" ht="15">
      <c r="A1119" s="3">
        <f t="shared" si="2"/>
        <v>2071</v>
      </c>
      <c r="B1119" s="4">
        <f t="shared" ca="1" si="1"/>
        <v>50.605449999999998</v>
      </c>
      <c r="C1119" s="4">
        <f t="shared" ca="1" si="1"/>
        <v>50.242150000000002</v>
      </c>
      <c r="D1119" s="4">
        <f t="shared" ca="1" si="1"/>
        <v>63.883283333333331</v>
      </c>
      <c r="E1119" s="4">
        <f t="shared" ca="1" si="1"/>
        <v>325.93017977299979</v>
      </c>
    </row>
    <row r="1120" spans="1:5" ht="15">
      <c r="A1120" s="3">
        <f t="shared" si="2"/>
        <v>2072</v>
      </c>
      <c r="B1120" s="4">
        <f t="shared" ca="1" si="1"/>
        <v>51.485408333333339</v>
      </c>
      <c r="C1120" s="4">
        <f t="shared" ca="1" si="1"/>
        <v>51.122141666666671</v>
      </c>
      <c r="D1120" s="4">
        <f t="shared" ca="1" si="1"/>
        <v>64.858699999999985</v>
      </c>
      <c r="E1120" s="4">
        <f t="shared" ca="1" si="1"/>
        <v>331.70500960157443</v>
      </c>
    </row>
    <row r="1121" spans="1:5" ht="15">
      <c r="A1121" s="3">
        <f t="shared" si="2"/>
        <v>2073</v>
      </c>
      <c r="B1121" s="4">
        <f t="shared" ca="1" si="1"/>
        <v>52.380924999999991</v>
      </c>
      <c r="C1121" s="4">
        <f t="shared" ca="1" si="1"/>
        <v>52.017650000000003</v>
      </c>
      <c r="D1121" s="4">
        <f t="shared" ca="1" si="1"/>
        <v>65.849433333333337</v>
      </c>
      <c r="E1121" s="4">
        <f t="shared" ca="1" si="1"/>
        <v>337.58215850487358</v>
      </c>
    </row>
    <row r="1122" spans="1:5" ht="15">
      <c r="A1122" s="3">
        <f t="shared" si="2"/>
        <v>2074</v>
      </c>
      <c r="B1122" s="4">
        <f t="shared" ca="1" si="1"/>
        <v>53.29226666666667</v>
      </c>
      <c r="C1122" s="4">
        <f t="shared" ca="1" si="1"/>
        <v>52.928966666666668</v>
      </c>
      <c r="D1122" s="4">
        <f t="shared" ca="1" si="1"/>
        <v>66.855775000000008</v>
      </c>
      <c r="E1122" s="4">
        <f t="shared" ca="1" si="1"/>
        <v>343.56343938359925</v>
      </c>
    </row>
    <row r="1123" spans="1:5" ht="15">
      <c r="A1123" s="3">
        <f t="shared" si="2"/>
        <v>2075</v>
      </c>
      <c r="B1123" s="4">
        <f t="shared" ca="1" si="1"/>
        <v>54.219683333333329</v>
      </c>
      <c r="C1123" s="4">
        <f t="shared" ca="1" si="1"/>
        <v>53.856400000000001</v>
      </c>
      <c r="D1123" s="4">
        <f t="shared" ca="1" si="1"/>
        <v>67.877908333333323</v>
      </c>
      <c r="E1123" s="4">
        <f t="shared" ca="1" si="1"/>
        <v>349.65069725962923</v>
      </c>
    </row>
    <row r="1124" spans="1:5" ht="15">
      <c r="A1124" s="3">
        <f t="shared" si="2"/>
        <v>2076</v>
      </c>
      <c r="B1124" s="4">
        <f t="shared" ca="1" si="1"/>
        <v>55.163533333333334</v>
      </c>
      <c r="C1124" s="4">
        <f t="shared" ca="1" si="1"/>
        <v>54.800241666666665</v>
      </c>
      <c r="D1124" s="4">
        <f t="shared" ca="1" si="1"/>
        <v>68.916124999999994</v>
      </c>
      <c r="E1124" s="4">
        <f t="shared" ca="1" si="1"/>
        <v>355.84580984514406</v>
      </c>
    </row>
    <row r="1125" spans="1:5" ht="15">
      <c r="A1125" s="3">
        <f t="shared" si="2"/>
        <v>2077</v>
      </c>
      <c r="B1125" s="4">
        <f t="shared" ca="1" si="1"/>
        <v>56.12401666666667</v>
      </c>
      <c r="C1125" s="4">
        <f t="shared" ca="1" si="1"/>
        <v>55.760725000000001</v>
      </c>
      <c r="D1125" s="4">
        <f t="shared" ca="1" si="1"/>
        <v>69.970674999999986</v>
      </c>
      <c r="E1125" s="4">
        <f t="shared" ca="1" si="1"/>
        <v>362.15068812183534</v>
      </c>
    </row>
    <row r="1126" spans="1:5" ht="15">
      <c r="A1126" s="3">
        <f t="shared" si="2"/>
        <v>2078</v>
      </c>
      <c r="B1126" s="4">
        <f t="shared" ca="1" si="1"/>
        <v>57.101483333333334</v>
      </c>
      <c r="C1126" s="4">
        <f t="shared" ca="1" si="1"/>
        <v>56.738191666666673</v>
      </c>
      <c r="D1126" s="4">
        <f t="shared" ca="1" si="1"/>
        <v>71.041808333333321</v>
      </c>
      <c r="E1126" s="4">
        <f t="shared" ca="1" si="1"/>
        <v>368.56727693038124</v>
      </c>
    </row>
    <row r="1127" spans="1:5" ht="15">
      <c r="A1127" s="3">
        <f t="shared" si="2"/>
        <v>2079</v>
      </c>
      <c r="B1127" s="4">
        <f t="shared" ca="1" si="1"/>
        <v>58.096225000000004</v>
      </c>
      <c r="C1127" s="4">
        <f t="shared" ca="1" si="1"/>
        <v>57.732941666666669</v>
      </c>
      <c r="D1127" s="4">
        <f t="shared" ca="1" si="1"/>
        <v>72.129774999999995</v>
      </c>
      <c r="E1127" s="4">
        <f t="shared" ca="1" si="1"/>
        <v>375.09755557036186</v>
      </c>
    </row>
    <row r="1128" spans="1:5" ht="15">
      <c r="A1128" s="3">
        <f t="shared" si="2"/>
        <v>2080</v>
      </c>
      <c r="B1128" s="4">
        <f t="shared" ca="1" si="1"/>
        <v>59.108541666666667</v>
      </c>
      <c r="C1128" s="4">
        <f t="shared" ca="1" si="1"/>
        <v>58.745266666666673</v>
      </c>
      <c r="D1128" s="4">
        <f t="shared" ca="1" si="1"/>
        <v>73.234875000000002</v>
      </c>
      <c r="E1128" s="4">
        <f t="shared" ca="1" si="1"/>
        <v>381.74353841080739</v>
      </c>
    </row>
    <row r="1129" spans="1:5" ht="15">
      <c r="A1129" s="3">
        <f t="shared" si="2"/>
        <v>2081</v>
      </c>
      <c r="B1129" s="4">
        <f t="shared" ca="1" si="1"/>
        <v>60.138741666666668</v>
      </c>
      <c r="C1129" s="4">
        <f t="shared" ca="1" si="1"/>
        <v>59.775449999999999</v>
      </c>
      <c r="D1129" s="4">
        <f t="shared" ca="1" si="1"/>
        <v>74.357350000000011</v>
      </c>
      <c r="E1129" s="4">
        <f t="shared" ca="1" si="1"/>
        <v>388.50727551156052</v>
      </c>
    </row>
    <row r="1130" spans="1:5" ht="15">
      <c r="A1130" s="3">
        <f t="shared" si="2"/>
        <v>2082</v>
      </c>
      <c r="B1130" s="4">
        <f t="shared" ref="B1130:E1148" ca="1" si="3">AVERAGE(OFFSET(B$593,($A1130-$A$1110)*12,0,12,1))</f>
        <v>61.187141666666669</v>
      </c>
      <c r="C1130" s="4">
        <f t="shared" ca="1" si="3"/>
        <v>60.823874999999994</v>
      </c>
      <c r="D1130" s="4">
        <f t="shared" ca="1" si="3"/>
        <v>75.497433333333333</v>
      </c>
      <c r="E1130" s="4">
        <f t="shared" ca="1" si="3"/>
        <v>395.39085325565173</v>
      </c>
    </row>
    <row r="1131" spans="1:5" ht="15">
      <c r="A1131" s="3">
        <f t="shared" si="2"/>
        <v>2083</v>
      </c>
      <c r="B1131" s="4">
        <f t="shared" ca="1" si="3"/>
        <v>62.254058333333326</v>
      </c>
      <c r="C1131" s="4">
        <f t="shared" ca="1" si="3"/>
        <v>61.890783333333331</v>
      </c>
      <c r="D1131" s="4">
        <f t="shared" ca="1" si="3"/>
        <v>76.655483333333336</v>
      </c>
      <c r="E1131" s="4">
        <f t="shared" ca="1" si="3"/>
        <v>402.39639499287819</v>
      </c>
    </row>
    <row r="1132" spans="1:5" ht="15">
      <c r="A1132" s="3">
        <f t="shared" si="2"/>
        <v>2084</v>
      </c>
      <c r="B1132" s="4">
        <f t="shared" ca="1" si="3"/>
        <v>63.339841666666679</v>
      </c>
      <c r="C1132" s="4">
        <f t="shared" ca="1" si="3"/>
        <v>62.976558333333337</v>
      </c>
      <c r="D1132" s="4">
        <f t="shared" ca="1" si="3"/>
        <v>77.831733333333332</v>
      </c>
      <c r="E1132" s="4">
        <f t="shared" ca="1" si="3"/>
        <v>409.52606169478281</v>
      </c>
    </row>
    <row r="1133" spans="1:5" ht="15">
      <c r="A1133" s="3">
        <f t="shared" si="2"/>
        <v>2085</v>
      </c>
      <c r="B1133" s="4">
        <f t="shared" ca="1" si="3"/>
        <v>64.44479166666666</v>
      </c>
      <c r="C1133" s="4">
        <f t="shared" ca="1" si="3"/>
        <v>64.081524999999985</v>
      </c>
      <c r="D1133" s="4">
        <f t="shared" ca="1" si="3"/>
        <v>79.026466666666678</v>
      </c>
      <c r="E1133" s="4">
        <f t="shared" ca="1" si="3"/>
        <v>416.78205262124226</v>
      </c>
    </row>
    <row r="1134" spans="1:5" ht="15">
      <c r="A1134" s="3">
        <f t="shared" si="2"/>
        <v>2086</v>
      </c>
      <c r="B1134" s="4">
        <f t="shared" ca="1" si="3"/>
        <v>65.56927499999999</v>
      </c>
      <c r="C1134" s="4">
        <f t="shared" ca="1" si="3"/>
        <v>65.206016666666656</v>
      </c>
      <c r="D1134" s="4">
        <f t="shared" ca="1" si="3"/>
        <v>80.239991666666654</v>
      </c>
      <c r="E1134" s="4">
        <f t="shared" ca="1" si="3"/>
        <v>424.16660599886319</v>
      </c>
    </row>
    <row r="1135" spans="1:5" ht="15">
      <c r="A1135" s="3">
        <f t="shared" si="2"/>
        <v>2087</v>
      </c>
      <c r="B1135" s="4">
        <f t="shared" ca="1" si="3"/>
        <v>66.713650000000001</v>
      </c>
      <c r="C1135" s="4">
        <f t="shared" ca="1" si="3"/>
        <v>66.350349999999992</v>
      </c>
      <c r="D1135" s="4">
        <f t="shared" ca="1" si="3"/>
        <v>81.472608333333326</v>
      </c>
      <c r="E1135" s="4">
        <f t="shared" ca="1" si="3"/>
        <v>431.68199971139933</v>
      </c>
    </row>
    <row r="1136" spans="1:5" ht="15">
      <c r="A1136" s="3">
        <f t="shared" si="2"/>
        <v>2088</v>
      </c>
      <c r="B1136" s="4">
        <f t="shared" ca="1" si="3"/>
        <v>67.87821666666666</v>
      </c>
      <c r="C1136" s="4">
        <f t="shared" ca="1" si="3"/>
        <v>67.514933333333317</v>
      </c>
      <c r="D1136" s="4">
        <f t="shared" ca="1" si="3"/>
        <v>82.724616666666648</v>
      </c>
      <c r="E1136" s="4">
        <f t="shared" ca="1" si="3"/>
        <v>439.33055200240125</v>
      </c>
    </row>
    <row r="1137" spans="1:5" ht="15">
      <c r="A1137" s="3">
        <f t="shared" si="2"/>
        <v>2089</v>
      </c>
      <c r="B1137" s="4">
        <f t="shared" ca="1" si="3"/>
        <v>69.063358333333341</v>
      </c>
      <c r="C1137" s="4">
        <f t="shared" ca="1" si="3"/>
        <v>68.700074999999998</v>
      </c>
      <c r="D1137" s="4">
        <f t="shared" ca="1" si="3"/>
        <v>83.996308333333346</v>
      </c>
      <c r="E1137" s="4">
        <f t="shared" ca="1" si="3"/>
        <v>447.11462219031529</v>
      </c>
    </row>
    <row r="1138" spans="1:5" ht="15">
      <c r="A1138" s="3">
        <f t="shared" si="2"/>
        <v>2090</v>
      </c>
      <c r="B1138" s="4">
        <f t="shared" ca="1" si="3"/>
        <v>70.269424999999984</v>
      </c>
      <c r="C1138" s="4">
        <f t="shared" ca="1" si="3"/>
        <v>69.906166666666664</v>
      </c>
      <c r="D1138" s="4">
        <f t="shared" ca="1" si="3"/>
        <v>85.287999999999982</v>
      </c>
      <c r="E1138" s="4">
        <f t="shared" ca="1" si="3"/>
        <v>455.03661139625416</v>
      </c>
    </row>
    <row r="1139" spans="1:5" ht="15">
      <c r="A1139" s="3">
        <f t="shared" si="2"/>
        <v>2091</v>
      </c>
      <c r="B1139" s="4">
        <f t="shared" ca="1" si="3"/>
        <v>71.496833333333328</v>
      </c>
      <c r="C1139" s="4">
        <f t="shared" ca="1" si="3"/>
        <v>71.133533333333332</v>
      </c>
      <c r="D1139" s="4">
        <f t="shared" ca="1" si="3"/>
        <v>86.599983333333327</v>
      </c>
      <c r="E1139" s="4">
        <f t="shared" ca="1" si="3"/>
        <v>463.09896328465908</v>
      </c>
    </row>
    <row r="1140" spans="1:5" ht="15">
      <c r="A1140" s="3">
        <f t="shared" si="2"/>
        <v>2092</v>
      </c>
      <c r="B1140" s="4">
        <f t="shared" ca="1" si="3"/>
        <v>72.745925000000014</v>
      </c>
      <c r="C1140" s="4">
        <f t="shared" ca="1" si="3"/>
        <v>72.382633333333345</v>
      </c>
      <c r="D1140" s="4">
        <f t="shared" ca="1" si="3"/>
        <v>87.932608333333334</v>
      </c>
      <c r="E1140" s="4">
        <f t="shared" ca="1" si="3"/>
        <v>471.3041648170904</v>
      </c>
    </row>
    <row r="1141" spans="1:5" ht="15">
      <c r="A1141" s="3">
        <f t="shared" si="2"/>
        <v>2093</v>
      </c>
      <c r="B1141" s="4">
        <f t="shared" ca="1" si="3"/>
        <v>74.017058333333338</v>
      </c>
      <c r="C1141" s="4">
        <f t="shared" ca="1" si="3"/>
        <v>73.653774999999996</v>
      </c>
      <c r="D1141" s="4">
        <f t="shared" ca="1" si="3"/>
        <v>89.286200000000008</v>
      </c>
      <c r="E1141" s="4">
        <f t="shared" ca="1" si="3"/>
        <v>479.65474701936699</v>
      </c>
    </row>
    <row r="1142" spans="1:5" ht="15">
      <c r="A1142" s="3">
        <f t="shared" si="2"/>
        <v>2094</v>
      </c>
      <c r="B1142" s="4">
        <f t="shared" ca="1" si="3"/>
        <v>75.310675000000018</v>
      </c>
      <c r="C1142" s="4">
        <f t="shared" ca="1" si="3"/>
        <v>74.94738333333332</v>
      </c>
      <c r="D1142" s="4">
        <f t="shared" ca="1" si="3"/>
        <v>90.661074999999997</v>
      </c>
      <c r="E1142" s="4">
        <f t="shared" ca="1" si="3"/>
        <v>488.15328576230559</v>
      </c>
    </row>
    <row r="1143" spans="1:5" ht="15">
      <c r="A1143" s="3">
        <f t="shared" si="2"/>
        <v>2095</v>
      </c>
      <c r="B1143" s="4">
        <f t="shared" ca="1" si="3"/>
        <v>76.627149999999986</v>
      </c>
      <c r="C1143" s="4">
        <f t="shared" ca="1" si="3"/>
        <v>76.263858333333317</v>
      </c>
      <c r="D1143" s="4">
        <f t="shared" ca="1" si="3"/>
        <v>92.05754166666668</v>
      </c>
      <c r="E1143" s="4">
        <f t="shared" ca="1" si="3"/>
        <v>496.80240255628581</v>
      </c>
    </row>
    <row r="1144" spans="1:5" ht="15">
      <c r="A1144" s="3">
        <f t="shared" si="2"/>
        <v>2096</v>
      </c>
      <c r="B1144" s="4">
        <f t="shared" ca="1" si="3"/>
        <v>77.96684999999998</v>
      </c>
      <c r="C1144" s="4">
        <f t="shared" ca="1" si="3"/>
        <v>77.603558333333325</v>
      </c>
      <c r="D1144" s="4">
        <f t="shared" ca="1" si="3"/>
        <v>93.475999999999999</v>
      </c>
      <c r="E1144" s="4">
        <f t="shared" ca="1" si="3"/>
        <v>505.6047653598996</v>
      </c>
    </row>
    <row r="1145" spans="1:5" ht="15">
      <c r="A1145" s="3">
        <f t="shared" si="2"/>
        <v>2097</v>
      </c>
      <c r="B1145" s="4">
        <f t="shared" ca="1" si="3"/>
        <v>79.330258333333333</v>
      </c>
      <c r="C1145" s="4">
        <f t="shared" ca="1" si="3"/>
        <v>78.966983333333317</v>
      </c>
      <c r="D1145" s="4">
        <f t="shared" ca="1" si="3"/>
        <v>94.916741666666681</v>
      </c>
      <c r="E1145" s="4">
        <f t="shared" ca="1" si="3"/>
        <v>514.56308940292422</v>
      </c>
    </row>
    <row r="1146" spans="1:5" ht="15">
      <c r="A1146" s="3">
        <f t="shared" si="2"/>
        <v>2098</v>
      </c>
      <c r="B1146" s="4">
        <f t="shared" ca="1" si="3"/>
        <v>80.717733333333328</v>
      </c>
      <c r="C1146" s="4">
        <f t="shared" ca="1" si="3"/>
        <v>80.354458333333312</v>
      </c>
      <c r="D1146" s="4">
        <f t="shared" ca="1" si="3"/>
        <v>96.380158333333327</v>
      </c>
      <c r="E1146" s="4">
        <f t="shared" ca="1" si="3"/>
        <v>523.68013802387952</v>
      </c>
    </row>
    <row r="1147" spans="1:5" ht="15">
      <c r="A1147" s="3">
        <f t="shared" si="2"/>
        <v>2099</v>
      </c>
      <c r="B1147" s="4">
        <f t="shared" ca="1" si="3"/>
        <v>82.129741666666661</v>
      </c>
      <c r="C1147" s="4">
        <f t="shared" ca="1" si="3"/>
        <v>81.766466666666659</v>
      </c>
      <c r="D1147" s="4">
        <f t="shared" ca="1" si="3"/>
        <v>97.866558333333344</v>
      </c>
      <c r="E1147" s="4">
        <f t="shared" ca="1" si="3"/>
        <v>532.95872352242304</v>
      </c>
    </row>
    <row r="1148" spans="1:5" ht="15">
      <c r="A1148" s="3">
        <f t="shared" si="2"/>
        <v>2100</v>
      </c>
      <c r="B1148" s="4">
        <f t="shared" ca="1" si="3"/>
        <v>83.566691666666671</v>
      </c>
      <c r="C1148" s="4">
        <f t="shared" ca="1" si="3"/>
        <v>83.203399999999988</v>
      </c>
      <c r="D1148" s="4">
        <f t="shared" ca="1" si="3"/>
        <v>99.376341666666647</v>
      </c>
      <c r="E1148" s="4">
        <f t="shared" ca="1" si="3"/>
        <v>542.40170802684952</v>
      </c>
    </row>
    <row r="1149" spans="1:5">
      <c r="A1149" s="35"/>
    </row>
    <row r="1150" spans="1:5">
      <c r="A1150" s="35"/>
    </row>
    <row r="1151" spans="1:5">
      <c r="A1151" s="35"/>
    </row>
    <row r="1152" spans="1:5">
      <c r="A1152" s="35"/>
    </row>
    <row r="1153" spans="1:1">
      <c r="A1153" s="35"/>
    </row>
    <row r="1154" spans="1:1">
      <c r="A1154" s="35"/>
    </row>
    <row r="1155" spans="1:1">
      <c r="A1155" s="35"/>
    </row>
    <row r="1156" spans="1:1">
      <c r="A1156" s="35"/>
    </row>
    <row r="1157" spans="1:1">
      <c r="A1157" s="35"/>
    </row>
    <row r="1158" spans="1:1">
      <c r="A1158" s="35"/>
    </row>
    <row r="1159" spans="1:1">
      <c r="A1159" s="35"/>
    </row>
    <row r="1160" spans="1:1">
      <c r="A1160" s="35"/>
    </row>
    <row r="1161" spans="1:1">
      <c r="A1161" s="35"/>
    </row>
    <row r="1162" spans="1:1">
      <c r="A1162" s="35"/>
    </row>
    <row r="1163" spans="1:1">
      <c r="A1163" s="35"/>
    </row>
    <row r="1164" spans="1:1">
      <c r="A1164" s="35"/>
    </row>
    <row r="1165" spans="1:1">
      <c r="A1165" s="35"/>
    </row>
    <row r="1166" spans="1:1">
      <c r="A1166" s="35"/>
    </row>
    <row r="1167" spans="1:1">
      <c r="A1167" s="35"/>
    </row>
    <row r="1168" spans="1:1">
      <c r="A1168" s="35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48"/>
  <sheetViews>
    <sheetView zoomScale="70" workbookViewId="0">
      <pane xSplit="1" ySplit="16" topLeftCell="B1147" activePane="bottomRight" state="frozen"/>
      <selection activeCell="A7" sqref="A7"/>
      <selection pane="topRight" activeCell="A7" sqref="A7"/>
      <selection pane="bottomLeft" activeCell="A7" sqref="A7"/>
      <selection pane="bottomRight" activeCell="C4" sqref="C4"/>
    </sheetView>
  </sheetViews>
  <sheetFormatPr defaultColWidth="7.109375" defaultRowHeight="12.75"/>
  <cols>
    <col min="1" max="1" width="14.5546875" style="35" customWidth="1"/>
    <col min="2" max="2" width="19" style="35" customWidth="1"/>
    <col min="3" max="3" width="16.109375" style="35" customWidth="1"/>
    <col min="4" max="4" width="20.21875" style="35" customWidth="1"/>
    <col min="5" max="5" width="20.6640625" style="35" customWidth="1"/>
    <col min="6" max="6" width="16.109375" style="35" customWidth="1"/>
    <col min="7" max="9" width="20" style="35" customWidth="1"/>
    <col min="10" max="11" width="19.109375" style="35" customWidth="1"/>
    <col min="12" max="12" width="16.109375" style="35" customWidth="1"/>
    <col min="13" max="15" width="17.6640625" style="35" customWidth="1"/>
    <col min="16" max="16384" width="7.109375" style="35"/>
  </cols>
  <sheetData>
    <row r="1" spans="1:15" ht="15.75">
      <c r="A1" s="87" t="s">
        <v>64</v>
      </c>
    </row>
    <row r="2" spans="1:15" ht="15.75">
      <c r="A2" s="87" t="s">
        <v>65</v>
      </c>
    </row>
    <row r="3" spans="1:15" ht="15.75">
      <c r="A3" s="87" t="s">
        <v>66</v>
      </c>
    </row>
    <row r="4" spans="1:15" ht="15.75">
      <c r="A4" s="87" t="s">
        <v>67</v>
      </c>
    </row>
    <row r="5" spans="1:15" ht="15.75">
      <c r="A5" s="87" t="s">
        <v>73</v>
      </c>
    </row>
    <row r="6" spans="1:15" ht="15.75">
      <c r="A6" s="87" t="s">
        <v>70</v>
      </c>
    </row>
    <row r="9" spans="1:15" ht="15" customHeight="1">
      <c r="A9" s="77" t="s">
        <v>25</v>
      </c>
    </row>
    <row r="10" spans="1:15" ht="15" customHeight="1">
      <c r="A10" s="78"/>
    </row>
    <row r="11" spans="1:15" ht="15" customHeight="1">
      <c r="A11" s="78"/>
    </row>
    <row r="12" spans="1:15" ht="15" customHeight="1">
      <c r="B12" s="77"/>
      <c r="H12" s="74" t="s">
        <v>51</v>
      </c>
    </row>
    <row r="13" spans="1:15" ht="15" customHeight="1">
      <c r="A13" s="77"/>
      <c r="B13" s="76" t="s">
        <v>24</v>
      </c>
      <c r="C13" s="75">
        <f>1-0.149</f>
        <v>0.85099999999999998</v>
      </c>
      <c r="D13" s="76" t="s">
        <v>23</v>
      </c>
      <c r="E13" s="75">
        <f>1+0.149</f>
        <v>1.149</v>
      </c>
      <c r="H13" s="74"/>
      <c r="L13" s="92"/>
      <c r="M13" s="92"/>
      <c r="N13" s="92"/>
      <c r="O13" s="92"/>
    </row>
    <row r="14" spans="1:15" ht="15" customHeight="1">
      <c r="B14" s="91" t="s">
        <v>50</v>
      </c>
      <c r="C14" s="91"/>
      <c r="D14" s="91"/>
      <c r="E14" s="93" t="s">
        <v>49</v>
      </c>
      <c r="F14" s="93"/>
      <c r="G14" s="94"/>
      <c r="H14" s="95" t="s">
        <v>48</v>
      </c>
      <c r="I14" s="95"/>
      <c r="J14" s="94" t="s">
        <v>47</v>
      </c>
      <c r="K14" s="94"/>
      <c r="L14" s="92"/>
      <c r="M14" s="92"/>
      <c r="N14" s="92"/>
      <c r="O14" s="92"/>
    </row>
    <row r="15" spans="1:15" ht="63">
      <c r="B15" s="73" t="s">
        <v>46</v>
      </c>
      <c r="C15" s="72" t="s">
        <v>45</v>
      </c>
      <c r="D15" s="71" t="s">
        <v>44</v>
      </c>
      <c r="E15" s="73" t="s">
        <v>46</v>
      </c>
      <c r="F15" s="72" t="s">
        <v>45</v>
      </c>
      <c r="G15" s="71" t="s">
        <v>44</v>
      </c>
      <c r="H15" s="72" t="s">
        <v>45</v>
      </c>
      <c r="I15" s="71" t="s">
        <v>44</v>
      </c>
      <c r="J15" s="72" t="s">
        <v>45</v>
      </c>
      <c r="K15" s="71" t="s">
        <v>44</v>
      </c>
      <c r="L15" s="63"/>
      <c r="M15" s="70"/>
      <c r="N15" s="70"/>
      <c r="O15" s="70"/>
    </row>
    <row r="16" spans="1:15" ht="20.25">
      <c r="A16" s="27" t="s">
        <v>2</v>
      </c>
      <c r="B16" s="69" t="s">
        <v>1</v>
      </c>
      <c r="C16" s="69" t="s">
        <v>1</v>
      </c>
      <c r="D16" s="69" t="s">
        <v>1</v>
      </c>
      <c r="E16" s="69" t="s">
        <v>1</v>
      </c>
      <c r="F16" s="69" t="s">
        <v>1</v>
      </c>
      <c r="G16" s="69" t="s">
        <v>1</v>
      </c>
      <c r="H16" s="69" t="s">
        <v>1</v>
      </c>
      <c r="I16" s="69" t="s">
        <v>1</v>
      </c>
      <c r="J16" s="69" t="s">
        <v>1</v>
      </c>
      <c r="K16" s="69" t="s">
        <v>1</v>
      </c>
      <c r="L16" s="68"/>
      <c r="M16" s="68"/>
      <c r="N16" s="68"/>
      <c r="O16" s="68"/>
    </row>
    <row r="17" spans="1:14" ht="15">
      <c r="A17" s="13">
        <v>41640</v>
      </c>
      <c r="B17" s="66">
        <f>2.3642 * CHOOSE(CONTROL!$C$23, $C$13, 100%, $E$13)</f>
        <v>2.3641999999999999</v>
      </c>
      <c r="C17" s="66">
        <f>2.3216 * CHOOSE(CONTROL!$C$23, $C$13, 100%, $E$13)</f>
        <v>2.3216000000000001</v>
      </c>
      <c r="D17" s="66">
        <f>2.3255 * CHOOSE(CONTROL!$C$23, $C$13, 100%, $E$13)</f>
        <v>2.3254999999999999</v>
      </c>
      <c r="E17" s="67">
        <f>3.382 * CHOOSE(CONTROL!$C$23, $C$13, 100%, $E$13)</f>
        <v>3.3820000000000001</v>
      </c>
      <c r="F17" s="67">
        <f>3.561 * CHOOSE(CONTROL!$C$23, $C$13, 100%, $E$13)</f>
        <v>3.5609999999999999</v>
      </c>
      <c r="G17" s="67">
        <f>3.5716 * CHOOSE(CONTROL!$C$23, $C$13, 100%, $E$13)</f>
        <v>3.5716000000000001</v>
      </c>
      <c r="H17" s="67">
        <f>5.9* CHOOSE(CONTROL!$C$23, $C$13, 100%, $E$13)</f>
        <v>5.9</v>
      </c>
      <c r="I17" s="67">
        <f>5.9106 * CHOOSE(CONTROL!$C$23, $C$13, 100%, $E$13)</f>
        <v>5.9105999999999996</v>
      </c>
      <c r="J17" s="67">
        <f>3.382 * CHOOSE(CONTROL!$C$23, $C$13, 100%, $E$13)</f>
        <v>3.3820000000000001</v>
      </c>
      <c r="K17" s="67">
        <f>3.3926 * CHOOSE(CONTROL!$C$23, $C$13, 100%, $E$13)</f>
        <v>3.3925999999999998</v>
      </c>
      <c r="L17" s="4"/>
      <c r="M17" s="67"/>
      <c r="N17" s="67"/>
    </row>
    <row r="18" spans="1:14" ht="15">
      <c r="A18" s="13">
        <v>41671</v>
      </c>
      <c r="B18" s="66">
        <f>2.3685 * CHOOSE(CONTROL!$C$23, $C$13, 100%, $E$13)</f>
        <v>2.3685</v>
      </c>
      <c r="C18" s="66">
        <f>2.329 * CHOOSE(CONTROL!$C$23, $C$13, 100%, $E$13)</f>
        <v>2.3290000000000002</v>
      </c>
      <c r="D18" s="66">
        <f>2.3329 * CHOOSE(CONTROL!$C$23, $C$13, 100%, $E$13)</f>
        <v>2.3329</v>
      </c>
      <c r="E18" s="67">
        <f>3.3397 * CHOOSE(CONTROL!$C$23, $C$13, 100%, $E$13)</f>
        <v>3.3397000000000001</v>
      </c>
      <c r="F18" s="67">
        <f>3.561 * CHOOSE(CONTROL!$C$23, $C$13, 100%, $E$13)</f>
        <v>3.5609999999999999</v>
      </c>
      <c r="G18" s="67">
        <f>3.5716 * CHOOSE(CONTROL!$C$23, $C$13, 100%, $E$13)</f>
        <v>3.5716000000000001</v>
      </c>
      <c r="H18" s="67">
        <f>5.9123* CHOOSE(CONTROL!$C$23, $C$13, 100%, $E$13)</f>
        <v>5.9123000000000001</v>
      </c>
      <c r="I18" s="67">
        <f>5.9229 * CHOOSE(CONTROL!$C$23, $C$13, 100%, $E$13)</f>
        <v>5.9229000000000003</v>
      </c>
      <c r="J18" s="67">
        <f>3.3397 * CHOOSE(CONTROL!$C$23, $C$13, 100%, $E$13)</f>
        <v>3.3397000000000001</v>
      </c>
      <c r="K18" s="67">
        <f>3.3503 * CHOOSE(CONTROL!$C$23, $C$13, 100%, $E$13)</f>
        <v>3.3502999999999998</v>
      </c>
      <c r="L18" s="4"/>
      <c r="M18" s="67"/>
      <c r="N18" s="67"/>
    </row>
    <row r="19" spans="1:14" ht="15">
      <c r="A19" s="13">
        <v>41699</v>
      </c>
      <c r="B19" s="66">
        <f>2.3683 * CHOOSE(CONTROL!$C$23, $C$13, 100%, $E$13)</f>
        <v>2.3683000000000001</v>
      </c>
      <c r="C19" s="66">
        <f>2.3227 * CHOOSE(CONTROL!$C$23, $C$13, 100%, $E$13)</f>
        <v>2.3227000000000002</v>
      </c>
      <c r="D19" s="66">
        <f>2.3266 * CHOOSE(CONTROL!$C$23, $C$13, 100%, $E$13)</f>
        <v>2.3266</v>
      </c>
      <c r="E19" s="67">
        <f>3.3703 * CHOOSE(CONTROL!$C$23, $C$13, 100%, $E$13)</f>
        <v>3.3702999999999999</v>
      </c>
      <c r="F19" s="67">
        <f>3.561 * CHOOSE(CONTROL!$C$23, $C$13, 100%, $E$13)</f>
        <v>3.5609999999999999</v>
      </c>
      <c r="G19" s="67">
        <f>3.5716 * CHOOSE(CONTROL!$C$23, $C$13, 100%, $E$13)</f>
        <v>3.5716000000000001</v>
      </c>
      <c r="H19" s="67">
        <f>5.9246* CHOOSE(CONTROL!$C$23, $C$13, 100%, $E$13)</f>
        <v>5.9245999999999999</v>
      </c>
      <c r="I19" s="67">
        <f>5.9352 * CHOOSE(CONTROL!$C$23, $C$13, 100%, $E$13)</f>
        <v>5.9352</v>
      </c>
      <c r="J19" s="67">
        <f>3.3703 * CHOOSE(CONTROL!$C$23, $C$13, 100%, $E$13)</f>
        <v>3.3702999999999999</v>
      </c>
      <c r="K19" s="67">
        <f>3.3809 * CHOOSE(CONTROL!$C$23, $C$13, 100%, $E$13)</f>
        <v>3.3809</v>
      </c>
      <c r="L19" s="4"/>
      <c r="M19" s="67"/>
      <c r="N19" s="67"/>
    </row>
    <row r="20" spans="1:14" ht="15">
      <c r="A20" s="13">
        <v>41730</v>
      </c>
      <c r="B20" s="66">
        <f>2.4658 * CHOOSE(CONTROL!$C$23, $C$13, 100%, $E$13)</f>
        <v>2.4658000000000002</v>
      </c>
      <c r="C20" s="66">
        <f>2.4194 * CHOOSE(CONTROL!$C$23, $C$13, 100%, $E$13)</f>
        <v>2.4194</v>
      </c>
      <c r="D20" s="66">
        <f>2.4233 * CHOOSE(CONTROL!$C$23, $C$13, 100%, $E$13)</f>
        <v>2.4232999999999998</v>
      </c>
      <c r="E20" s="67">
        <f>3.3266 * CHOOSE(CONTROL!$C$23, $C$13, 100%, $E$13)</f>
        <v>3.3266</v>
      </c>
      <c r="F20" s="67">
        <f>3.561 * CHOOSE(CONTROL!$C$23, $C$13, 100%, $E$13)</f>
        <v>3.5609999999999999</v>
      </c>
      <c r="G20" s="67">
        <f>3.5716 * CHOOSE(CONTROL!$C$23, $C$13, 100%, $E$13)</f>
        <v>3.5716000000000001</v>
      </c>
      <c r="H20" s="67">
        <f>5.937* CHOOSE(CONTROL!$C$23, $C$13, 100%, $E$13)</f>
        <v>5.9370000000000003</v>
      </c>
      <c r="I20" s="67">
        <f>5.9475 * CHOOSE(CONTROL!$C$23, $C$13, 100%, $E$13)</f>
        <v>5.9474999999999998</v>
      </c>
      <c r="J20" s="67">
        <f>3.3266 * CHOOSE(CONTROL!$C$23, $C$13, 100%, $E$13)</f>
        <v>3.3266</v>
      </c>
      <c r="K20" s="67">
        <f>3.3372 * CHOOSE(CONTROL!$C$23, $C$13, 100%, $E$13)</f>
        <v>3.3372000000000002</v>
      </c>
      <c r="L20" s="4"/>
      <c r="M20" s="67"/>
      <c r="N20" s="67"/>
    </row>
    <row r="21" spans="1:14" ht="15">
      <c r="A21" s="13">
        <v>41760</v>
      </c>
      <c r="B21" s="66">
        <f>2.4818 * CHOOSE(CONTROL!$C$23, $C$13, 100%, $E$13)</f>
        <v>2.4817999999999998</v>
      </c>
      <c r="C21" s="66">
        <f>2.4328 * CHOOSE(CONTROL!$C$23, $C$13, 100%, $E$13)</f>
        <v>2.4327999999999999</v>
      </c>
      <c r="D21" s="66">
        <f>2.4383 * CHOOSE(CONTROL!$C$23, $C$13, 100%, $E$13)</f>
        <v>2.4382999999999999</v>
      </c>
      <c r="E21" s="67">
        <f>3.2669 * CHOOSE(CONTROL!$C$23, $C$13, 100%, $E$13)</f>
        <v>3.2669000000000001</v>
      </c>
      <c r="F21" s="67">
        <f>3.282 * CHOOSE(CONTROL!$C$23, $C$13, 100%, $E$13)</f>
        <v>3.282</v>
      </c>
      <c r="G21" s="67">
        <f>3.297 * CHOOSE(CONTROL!$C$23, $C$13, 100%, $E$13)</f>
        <v>3.2970000000000002</v>
      </c>
      <c r="H21" s="67">
        <f>5.9493* CHOOSE(CONTROL!$C$23, $C$13, 100%, $E$13)</f>
        <v>5.9493</v>
      </c>
      <c r="I21" s="67">
        <f>5.9643 * CHOOSE(CONTROL!$C$23, $C$13, 100%, $E$13)</f>
        <v>5.9642999999999997</v>
      </c>
      <c r="J21" s="67">
        <f>3.2669 * CHOOSE(CONTROL!$C$23, $C$13, 100%, $E$13)</f>
        <v>3.2669000000000001</v>
      </c>
      <c r="K21" s="67">
        <f>3.2819 * CHOOSE(CONTROL!$C$23, $C$13, 100%, $E$13)</f>
        <v>3.2818999999999998</v>
      </c>
      <c r="L21" s="4"/>
      <c r="M21" s="67"/>
      <c r="N21" s="67"/>
    </row>
    <row r="22" spans="1:14" ht="15">
      <c r="A22" s="13">
        <v>41791</v>
      </c>
      <c r="B22" s="66">
        <f>2.4881 * CHOOSE(CONTROL!$C$23, $C$13, 100%, $E$13)</f>
        <v>2.4881000000000002</v>
      </c>
      <c r="C22" s="66">
        <f>2.4485 * CHOOSE(CONTROL!$C$23, $C$13, 100%, $E$13)</f>
        <v>2.4485000000000001</v>
      </c>
      <c r="D22" s="66">
        <f>2.454 * CHOOSE(CONTROL!$C$23, $C$13, 100%, $E$13)</f>
        <v>2.4540000000000002</v>
      </c>
      <c r="E22" s="67">
        <f>3.2472 * CHOOSE(CONTROL!$C$23, $C$13, 100%, $E$13)</f>
        <v>3.2471999999999999</v>
      </c>
      <c r="F22" s="67">
        <f>3.561 * CHOOSE(CONTROL!$C$23, $C$13, 100%, $E$13)</f>
        <v>3.5609999999999999</v>
      </c>
      <c r="G22" s="67">
        <f>3.576 * CHOOSE(CONTROL!$C$23, $C$13, 100%, $E$13)</f>
        <v>3.5760000000000001</v>
      </c>
      <c r="H22" s="67">
        <f>5.9617* CHOOSE(CONTROL!$C$23, $C$13, 100%, $E$13)</f>
        <v>5.9617000000000004</v>
      </c>
      <c r="I22" s="67">
        <f>5.9767 * CHOOSE(CONTROL!$C$23, $C$13, 100%, $E$13)</f>
        <v>5.9767000000000001</v>
      </c>
      <c r="J22" s="67">
        <f>3.2472 * CHOOSE(CONTROL!$C$23, $C$13, 100%, $E$13)</f>
        <v>3.2471999999999999</v>
      </c>
      <c r="K22" s="67">
        <f>3.2621 * CHOOSE(CONTROL!$C$23, $C$13, 100%, $E$13)</f>
        <v>3.2621000000000002</v>
      </c>
      <c r="L22" s="4"/>
      <c r="M22" s="67"/>
      <c r="N22" s="67"/>
    </row>
    <row r="23" spans="1:14" ht="15">
      <c r="A23" s="13">
        <v>41821</v>
      </c>
      <c r="B23" s="66">
        <f>2.4092 * CHOOSE(CONTROL!$C$23, $C$13, 100%, $E$13)</f>
        <v>2.4091999999999998</v>
      </c>
      <c r="C23" s="66">
        <f>2.4023 * CHOOSE(CONTROL!$C$23, $C$13, 100%, $E$13)</f>
        <v>2.4022999999999999</v>
      </c>
      <c r="D23" s="66">
        <f>2.4078 * CHOOSE(CONTROL!$C$23, $C$13, 100%, $E$13)</f>
        <v>2.4077999999999999</v>
      </c>
      <c r="E23" s="67">
        <f>3.2484 * CHOOSE(CONTROL!$C$23, $C$13, 100%, $E$13)</f>
        <v>3.2484000000000002</v>
      </c>
      <c r="F23" s="67">
        <f>3.321 * CHOOSE(CONTROL!$C$23, $C$13, 100%, $E$13)</f>
        <v>3.3210000000000002</v>
      </c>
      <c r="G23" s="67">
        <f>3.336 * CHOOSE(CONTROL!$C$23, $C$13, 100%, $E$13)</f>
        <v>3.3359999999999999</v>
      </c>
      <c r="H23" s="67">
        <f>5.9741* CHOOSE(CONTROL!$C$23, $C$13, 100%, $E$13)</f>
        <v>5.9741</v>
      </c>
      <c r="I23" s="67">
        <f>5.9891 * CHOOSE(CONTROL!$C$23, $C$13, 100%, $E$13)</f>
        <v>5.9890999999999996</v>
      </c>
      <c r="J23" s="67">
        <f>3.2484 * CHOOSE(CONTROL!$C$23, $C$13, 100%, $E$13)</f>
        <v>3.2484000000000002</v>
      </c>
      <c r="K23" s="67">
        <f>3.2633 * CHOOSE(CONTROL!$C$23, $C$13, 100%, $E$13)</f>
        <v>3.2633000000000001</v>
      </c>
      <c r="L23" s="4"/>
      <c r="M23" s="67"/>
      <c r="N23" s="67"/>
    </row>
    <row r="24" spans="1:14" ht="15">
      <c r="A24" s="13">
        <v>41852</v>
      </c>
      <c r="B24" s="66">
        <f>2.4115 * CHOOSE(CONTROL!$C$23, $C$13, 100%, $E$13)</f>
        <v>2.4115000000000002</v>
      </c>
      <c r="C24" s="66">
        <f>2.438 * CHOOSE(CONTROL!$C$23, $C$13, 100%, $E$13)</f>
        <v>2.4380000000000002</v>
      </c>
      <c r="D24" s="66">
        <f>2.4435 * CHOOSE(CONTROL!$C$23, $C$13, 100%, $E$13)</f>
        <v>2.4434999999999998</v>
      </c>
      <c r="E24" s="67">
        <f>3.2025 * CHOOSE(CONTROL!$C$23, $C$13, 100%, $E$13)</f>
        <v>3.2025000000000001</v>
      </c>
      <c r="F24" s="67">
        <f>3.282 * CHOOSE(CONTROL!$C$23, $C$13, 100%, $E$13)</f>
        <v>3.282</v>
      </c>
      <c r="G24" s="67">
        <f>3.297 * CHOOSE(CONTROL!$C$23, $C$13, 100%, $E$13)</f>
        <v>3.2970000000000002</v>
      </c>
      <c r="H24" s="67">
        <f>5.9866* CHOOSE(CONTROL!$C$23, $C$13, 100%, $E$13)</f>
        <v>5.9866000000000001</v>
      </c>
      <c r="I24" s="67">
        <f>6.0015 * CHOOSE(CONTROL!$C$23, $C$13, 100%, $E$13)</f>
        <v>6.0015000000000001</v>
      </c>
      <c r="J24" s="67">
        <f>3.2025 * CHOOSE(CONTROL!$C$23, $C$13, 100%, $E$13)</f>
        <v>3.2025000000000001</v>
      </c>
      <c r="K24" s="67">
        <f>3.2175 * CHOOSE(CONTROL!$C$23, $C$13, 100%, $E$13)</f>
        <v>3.2174999999999998</v>
      </c>
      <c r="L24" s="4"/>
      <c r="M24" s="67"/>
      <c r="N24" s="67"/>
    </row>
    <row r="25" spans="1:14" ht="15">
      <c r="A25" s="13">
        <v>41883</v>
      </c>
      <c r="B25" s="66">
        <f>2.4098 * CHOOSE(CONTROL!$C$23, $C$13, 100%, $E$13)</f>
        <v>2.4098000000000002</v>
      </c>
      <c r="C25" s="66">
        <f>2.435 * CHOOSE(CONTROL!$C$23, $C$13, 100%, $E$13)</f>
        <v>2.4350000000000001</v>
      </c>
      <c r="D25" s="66">
        <f>2.4405 * CHOOSE(CONTROL!$C$23, $C$13, 100%, $E$13)</f>
        <v>2.4405000000000001</v>
      </c>
      <c r="E25" s="67">
        <f>3.2621 * CHOOSE(CONTROL!$C$23, $C$13, 100%, $E$13)</f>
        <v>3.2621000000000002</v>
      </c>
      <c r="F25" s="67">
        <f>3.4 * CHOOSE(CONTROL!$C$23, $C$13, 100%, $E$13)</f>
        <v>3.4</v>
      </c>
      <c r="G25" s="67">
        <f>3.415 * CHOOSE(CONTROL!$C$23, $C$13, 100%, $E$13)</f>
        <v>3.415</v>
      </c>
      <c r="H25" s="67">
        <f>5.9991* CHOOSE(CONTROL!$C$23, $C$13, 100%, $E$13)</f>
        <v>5.9991000000000003</v>
      </c>
      <c r="I25" s="67">
        <f>6.014 * CHOOSE(CONTROL!$C$23, $C$13, 100%, $E$13)</f>
        <v>6.0140000000000002</v>
      </c>
      <c r="J25" s="67">
        <f>3.2621 * CHOOSE(CONTROL!$C$23, $C$13, 100%, $E$13)</f>
        <v>3.2621000000000002</v>
      </c>
      <c r="K25" s="67">
        <f>3.277 * CHOOSE(CONTROL!$C$23, $C$13, 100%, $E$13)</f>
        <v>3.2770000000000001</v>
      </c>
      <c r="L25" s="4"/>
      <c r="M25" s="67"/>
      <c r="N25" s="67"/>
    </row>
    <row r="26" spans="1:14" ht="15">
      <c r="A26" s="13">
        <v>41913</v>
      </c>
      <c r="B26" s="66">
        <f>2.4178 * CHOOSE(CONTROL!$C$23, $C$13, 100%, $E$13)</f>
        <v>2.4178000000000002</v>
      </c>
      <c r="C26" s="66">
        <f>2.4347 * CHOOSE(CONTROL!$C$23, $C$13, 100%, $E$13)</f>
        <v>2.4346999999999999</v>
      </c>
      <c r="D26" s="66">
        <f>2.4385 * CHOOSE(CONTROL!$C$23, $C$13, 100%, $E$13)</f>
        <v>2.4384999999999999</v>
      </c>
      <c r="E26" s="67">
        <f>3.2947 * CHOOSE(CONTROL!$C$23, $C$13, 100%, $E$13)</f>
        <v>3.2947000000000002</v>
      </c>
      <c r="F26" s="67">
        <f>3.561 * CHOOSE(CONTROL!$C$23, $C$13, 100%, $E$13)</f>
        <v>3.5609999999999999</v>
      </c>
      <c r="G26" s="67">
        <f>3.5716 * CHOOSE(CONTROL!$C$23, $C$13, 100%, $E$13)</f>
        <v>3.5716000000000001</v>
      </c>
      <c r="H26" s="67">
        <f>6.0116* CHOOSE(CONTROL!$C$23, $C$13, 100%, $E$13)</f>
        <v>6.0115999999999996</v>
      </c>
      <c r="I26" s="67">
        <f>6.0221 * CHOOSE(CONTROL!$C$23, $C$13, 100%, $E$13)</f>
        <v>6.0221</v>
      </c>
      <c r="J26" s="67">
        <f>3.2947 * CHOOSE(CONTROL!$C$23, $C$13, 100%, $E$13)</f>
        <v>3.2947000000000002</v>
      </c>
      <c r="K26" s="67">
        <f>3.3053 * CHOOSE(CONTROL!$C$23, $C$13, 100%, $E$13)</f>
        <v>3.3052999999999999</v>
      </c>
      <c r="L26" s="4"/>
      <c r="M26" s="67"/>
      <c r="N26" s="67"/>
    </row>
    <row r="27" spans="1:14" ht="15">
      <c r="A27" s="13">
        <v>41944</v>
      </c>
      <c r="B27" s="66">
        <f>2.4171 * CHOOSE(CONTROL!$C$23, $C$13, 100%, $E$13)</f>
        <v>2.4171</v>
      </c>
      <c r="C27" s="66">
        <f>2.4431 * CHOOSE(CONTROL!$C$23, $C$13, 100%, $E$13)</f>
        <v>2.4430999999999998</v>
      </c>
      <c r="D27" s="66">
        <f>2.4469 * CHOOSE(CONTROL!$C$23, $C$13, 100%, $E$13)</f>
        <v>2.4468999999999999</v>
      </c>
      <c r="E27" s="67">
        <f>3.3121 * CHOOSE(CONTROL!$C$23, $C$13, 100%, $E$13)</f>
        <v>3.3121</v>
      </c>
      <c r="F27" s="67">
        <f>3.348 * CHOOSE(CONTROL!$C$23, $C$13, 100%, $E$13)</f>
        <v>3.3479999999999999</v>
      </c>
      <c r="G27" s="67">
        <f>3.3586 * CHOOSE(CONTROL!$C$23, $C$13, 100%, $E$13)</f>
        <v>3.3586</v>
      </c>
      <c r="H27" s="67">
        <f>6.0241* CHOOSE(CONTROL!$C$23, $C$13, 100%, $E$13)</f>
        <v>6.0240999999999998</v>
      </c>
      <c r="I27" s="67">
        <f>6.0347 * CHOOSE(CONTROL!$C$23, $C$13, 100%, $E$13)</f>
        <v>6.0347</v>
      </c>
      <c r="J27" s="67">
        <f>3.3121 * CHOOSE(CONTROL!$C$23, $C$13, 100%, $E$13)</f>
        <v>3.3121</v>
      </c>
      <c r="K27" s="67">
        <f>3.3227 * CHOOSE(CONTROL!$C$23, $C$13, 100%, $E$13)</f>
        <v>3.3227000000000002</v>
      </c>
      <c r="L27" s="4"/>
      <c r="M27" s="67"/>
      <c r="N27" s="67"/>
    </row>
    <row r="28" spans="1:14" ht="15">
      <c r="A28" s="13">
        <v>41974</v>
      </c>
      <c r="B28" s="66">
        <f>2.4197 * CHOOSE(CONTROL!$C$23, $C$13, 100%, $E$13)</f>
        <v>2.4197000000000002</v>
      </c>
      <c r="C28" s="66">
        <f>2.4491 * CHOOSE(CONTROL!$C$23, $C$13, 100%, $E$13)</f>
        <v>2.4491000000000001</v>
      </c>
      <c r="D28" s="66">
        <f>2.453 * CHOOSE(CONTROL!$C$23, $C$13, 100%, $E$13)</f>
        <v>2.4529999999999998</v>
      </c>
      <c r="E28" s="67">
        <f>3.3287 * CHOOSE(CONTROL!$C$23, $C$13, 100%, $E$13)</f>
        <v>3.3287</v>
      </c>
      <c r="F28" s="67">
        <f>3.385 * CHOOSE(CONTROL!$C$23, $C$13, 100%, $E$13)</f>
        <v>3.3849999999999998</v>
      </c>
      <c r="G28" s="67">
        <f>3.3956 * CHOOSE(CONTROL!$C$23, $C$13, 100%, $E$13)</f>
        <v>3.3956</v>
      </c>
      <c r="H28" s="67">
        <f>6.0366* CHOOSE(CONTROL!$C$23, $C$13, 100%, $E$13)</f>
        <v>6.0366</v>
      </c>
      <c r="I28" s="67">
        <f>6.0472 * CHOOSE(CONTROL!$C$23, $C$13, 100%, $E$13)</f>
        <v>6.0472000000000001</v>
      </c>
      <c r="J28" s="67">
        <f>3.3287 * CHOOSE(CONTROL!$C$23, $C$13, 100%, $E$13)</f>
        <v>3.3287</v>
      </c>
      <c r="K28" s="67">
        <f>3.3393 * CHOOSE(CONTROL!$C$23, $C$13, 100%, $E$13)</f>
        <v>3.3393000000000002</v>
      </c>
      <c r="L28" s="4"/>
      <c r="M28" s="67"/>
      <c r="N28" s="67"/>
    </row>
    <row r="29" spans="1:14" ht="15">
      <c r="A29" s="13">
        <v>42005</v>
      </c>
      <c r="B29" s="66">
        <f>2.4907 * CHOOSE(CONTROL!$C$23, $C$13, 100%, $E$13)</f>
        <v>2.4906999999999999</v>
      </c>
      <c r="C29" s="66">
        <f>2.5129 * CHOOSE(CONTROL!$C$23, $C$13, 100%, $E$13)</f>
        <v>2.5129000000000001</v>
      </c>
      <c r="D29" s="66">
        <f>2.5168 * CHOOSE(CONTROL!$C$23, $C$13, 100%, $E$13)</f>
        <v>2.5167999999999999</v>
      </c>
      <c r="E29" s="67">
        <f>3.1876 * CHOOSE(CONTROL!$C$23, $C$13, 100%, $E$13)</f>
        <v>3.1876000000000002</v>
      </c>
      <c r="F29" s="67">
        <f>3.254 * CHOOSE(CONTROL!$C$23, $C$13, 100%, $E$13)</f>
        <v>3.254</v>
      </c>
      <c r="G29" s="67">
        <f>3.2588 * CHOOSE(CONTROL!$C$23, $C$13, 100%, $E$13)</f>
        <v>3.2587999999999999</v>
      </c>
      <c r="H29" s="67">
        <f>6.0492* CHOOSE(CONTROL!$C$23, $C$13, 100%, $E$13)</f>
        <v>6.0491999999999999</v>
      </c>
      <c r="I29" s="67">
        <f>6.054 * CHOOSE(CONTROL!$C$23, $C$13, 100%, $E$13)</f>
        <v>6.0540000000000003</v>
      </c>
      <c r="J29" s="67">
        <f>3.1876 * CHOOSE(CONTROL!$C$23, $C$13, 100%, $E$13)</f>
        <v>3.1876000000000002</v>
      </c>
      <c r="K29" s="67">
        <f>3.1924 * CHOOSE(CONTROL!$C$23, $C$13, 100%, $E$13)</f>
        <v>3.1924000000000001</v>
      </c>
      <c r="L29" s="4"/>
      <c r="M29" s="67"/>
      <c r="N29" s="67"/>
    </row>
    <row r="30" spans="1:14" ht="15">
      <c r="A30" s="13">
        <v>42036</v>
      </c>
      <c r="B30" s="66">
        <f>2.4906 * CHOOSE(CONTROL!$C$23, $C$13, 100%, $E$13)</f>
        <v>2.4906000000000001</v>
      </c>
      <c r="C30" s="66">
        <f>2.5152 * CHOOSE(CONTROL!$C$23, $C$13, 100%, $E$13)</f>
        <v>2.5152000000000001</v>
      </c>
      <c r="D30" s="66">
        <f>2.5191 * CHOOSE(CONTROL!$C$23, $C$13, 100%, $E$13)</f>
        <v>2.5190999999999999</v>
      </c>
      <c r="E30" s="67">
        <f>3.1987 * CHOOSE(CONTROL!$C$23, $C$13, 100%, $E$13)</f>
        <v>3.1987000000000001</v>
      </c>
      <c r="F30" s="67">
        <f>3.254 * CHOOSE(CONTROL!$C$23, $C$13, 100%, $E$13)</f>
        <v>3.254</v>
      </c>
      <c r="G30" s="67">
        <f>3.2588 * CHOOSE(CONTROL!$C$23, $C$13, 100%, $E$13)</f>
        <v>3.2587999999999999</v>
      </c>
      <c r="H30" s="67">
        <f>6.0618* CHOOSE(CONTROL!$C$23, $C$13, 100%, $E$13)</f>
        <v>6.0617999999999999</v>
      </c>
      <c r="I30" s="67">
        <f>6.0666 * CHOOSE(CONTROL!$C$23, $C$13, 100%, $E$13)</f>
        <v>6.0666000000000002</v>
      </c>
      <c r="J30" s="67">
        <f>3.1987 * CHOOSE(CONTROL!$C$23, $C$13, 100%, $E$13)</f>
        <v>3.1987000000000001</v>
      </c>
      <c r="K30" s="67">
        <f>3.2034 * CHOOSE(CONTROL!$C$23, $C$13, 100%, $E$13)</f>
        <v>3.2033999999999998</v>
      </c>
      <c r="L30" s="4"/>
      <c r="M30" s="67"/>
      <c r="N30" s="67"/>
    </row>
    <row r="31" spans="1:14" ht="15">
      <c r="A31" s="13">
        <v>42064</v>
      </c>
      <c r="B31" s="66">
        <f>2.4913 * CHOOSE(CONTROL!$C$23, $C$13, 100%, $E$13)</f>
        <v>2.4912999999999998</v>
      </c>
      <c r="C31" s="66">
        <f>2.5122 * CHOOSE(CONTROL!$C$23, $C$13, 100%, $E$13)</f>
        <v>2.5122</v>
      </c>
      <c r="D31" s="66">
        <f>2.516 * CHOOSE(CONTROL!$C$23, $C$13, 100%, $E$13)</f>
        <v>2.516</v>
      </c>
      <c r="E31" s="67">
        <f>3.1433 * CHOOSE(CONTROL!$C$23, $C$13, 100%, $E$13)</f>
        <v>3.1433</v>
      </c>
      <c r="F31" s="67">
        <f>3.254 * CHOOSE(CONTROL!$C$23, $C$13, 100%, $E$13)</f>
        <v>3.254</v>
      </c>
      <c r="G31" s="67">
        <f>3.2588 * CHOOSE(CONTROL!$C$23, $C$13, 100%, $E$13)</f>
        <v>3.2587999999999999</v>
      </c>
      <c r="H31" s="67">
        <f>6.0744* CHOOSE(CONTROL!$C$23, $C$13, 100%, $E$13)</f>
        <v>6.0743999999999998</v>
      </c>
      <c r="I31" s="67">
        <f>6.0792 * CHOOSE(CONTROL!$C$23, $C$13, 100%, $E$13)</f>
        <v>6.0792000000000002</v>
      </c>
      <c r="J31" s="67">
        <f>3.1433 * CHOOSE(CONTROL!$C$23, $C$13, 100%, $E$13)</f>
        <v>3.1433</v>
      </c>
      <c r="K31" s="67">
        <f>3.1481 * CHOOSE(CONTROL!$C$23, $C$13, 100%, $E$13)</f>
        <v>3.1480999999999999</v>
      </c>
      <c r="L31" s="4"/>
      <c r="M31" s="67"/>
      <c r="N31" s="67"/>
    </row>
    <row r="32" spans="1:14" ht="15">
      <c r="A32" s="13">
        <v>42095</v>
      </c>
      <c r="B32" s="66">
        <f>2.489 * CHOOSE(CONTROL!$C$23, $C$13, 100%, $E$13)</f>
        <v>2.4889999999999999</v>
      </c>
      <c r="C32" s="66">
        <f>2.5091 * CHOOSE(CONTROL!$C$23, $C$13, 100%, $E$13)</f>
        <v>2.5091000000000001</v>
      </c>
      <c r="D32" s="66">
        <f>2.513 * CHOOSE(CONTROL!$C$23, $C$13, 100%, $E$13)</f>
        <v>2.5129999999999999</v>
      </c>
      <c r="E32" s="67">
        <f>3.186 * CHOOSE(CONTROL!$C$23, $C$13, 100%, $E$13)</f>
        <v>3.1859999999999999</v>
      </c>
      <c r="F32" s="67">
        <f>3.254 * CHOOSE(CONTROL!$C$23, $C$13, 100%, $E$13)</f>
        <v>3.254</v>
      </c>
      <c r="G32" s="67">
        <f>3.2588 * CHOOSE(CONTROL!$C$23, $C$13, 100%, $E$13)</f>
        <v>3.2587999999999999</v>
      </c>
      <c r="H32" s="67">
        <f>6.0871* CHOOSE(CONTROL!$C$23, $C$13, 100%, $E$13)</f>
        <v>6.0871000000000004</v>
      </c>
      <c r="I32" s="67">
        <f>6.0919 * CHOOSE(CONTROL!$C$23, $C$13, 100%, $E$13)</f>
        <v>6.0918999999999999</v>
      </c>
      <c r="J32" s="67">
        <f>3.186 * CHOOSE(CONTROL!$C$23, $C$13, 100%, $E$13)</f>
        <v>3.1859999999999999</v>
      </c>
      <c r="K32" s="67">
        <f>3.1908 * CHOOSE(CONTROL!$C$23, $C$13, 100%, $E$13)</f>
        <v>3.1907999999999999</v>
      </c>
      <c r="L32" s="4"/>
      <c r="M32" s="67"/>
      <c r="N32" s="67"/>
    </row>
    <row r="33" spans="1:14" ht="15">
      <c r="A33" s="13">
        <v>42125</v>
      </c>
      <c r="B33" s="66">
        <f>2.4919 * CHOOSE(CONTROL!$C$23, $C$13, 100%, $E$13)</f>
        <v>2.4918999999999998</v>
      </c>
      <c r="C33" s="66">
        <f>2.5114 * CHOOSE(CONTROL!$C$23, $C$13, 100%, $E$13)</f>
        <v>2.5114000000000001</v>
      </c>
      <c r="D33" s="66">
        <f>2.5169 * CHOOSE(CONTROL!$C$23, $C$13, 100%, $E$13)</f>
        <v>2.5169000000000001</v>
      </c>
      <c r="E33" s="67">
        <f>3.186 * CHOOSE(CONTROL!$C$23, $C$13, 100%, $E$13)</f>
        <v>3.1859999999999999</v>
      </c>
      <c r="F33" s="67">
        <f>3.254 * CHOOSE(CONTROL!$C$23, $C$13, 100%, $E$13)</f>
        <v>3.254</v>
      </c>
      <c r="G33" s="67">
        <f>3.2607 * CHOOSE(CONTROL!$C$23, $C$13, 100%, $E$13)</f>
        <v>3.2606999999999999</v>
      </c>
      <c r="H33" s="67">
        <f>6.0998* CHOOSE(CONTROL!$C$23, $C$13, 100%, $E$13)</f>
        <v>6.0998000000000001</v>
      </c>
      <c r="I33" s="67">
        <f>6.1065 * CHOOSE(CONTROL!$C$23, $C$13, 100%, $E$13)</f>
        <v>6.1064999999999996</v>
      </c>
      <c r="J33" s="67">
        <f>3.186 * CHOOSE(CONTROL!$C$23, $C$13, 100%, $E$13)</f>
        <v>3.1859999999999999</v>
      </c>
      <c r="K33" s="67">
        <f>3.1927 * CHOOSE(CONTROL!$C$23, $C$13, 100%, $E$13)</f>
        <v>3.1926999999999999</v>
      </c>
      <c r="L33" s="4"/>
      <c r="M33" s="67"/>
      <c r="N33" s="67"/>
    </row>
    <row r="34" spans="1:14" ht="15">
      <c r="A34" s="13">
        <v>42156</v>
      </c>
      <c r="B34" s="66">
        <f>2.4945 * CHOOSE(CONTROL!$C$23, $C$13, 100%, $E$13)</f>
        <v>2.4944999999999999</v>
      </c>
      <c r="C34" s="66">
        <f>2.5175 * CHOOSE(CONTROL!$C$23, $C$13, 100%, $E$13)</f>
        <v>2.5175000000000001</v>
      </c>
      <c r="D34" s="66">
        <f>2.523 * CHOOSE(CONTROL!$C$23, $C$13, 100%, $E$13)</f>
        <v>2.5230000000000001</v>
      </c>
      <c r="E34" s="67">
        <f>3.2268 * CHOOSE(CONTROL!$C$23, $C$13, 100%, $E$13)</f>
        <v>3.2267999999999999</v>
      </c>
      <c r="F34" s="67">
        <f>3.254 * CHOOSE(CONTROL!$C$23, $C$13, 100%, $E$13)</f>
        <v>3.254</v>
      </c>
      <c r="G34" s="67">
        <f>3.2607 * CHOOSE(CONTROL!$C$23, $C$13, 100%, $E$13)</f>
        <v>3.2606999999999999</v>
      </c>
      <c r="H34" s="67">
        <f>6.1125* CHOOSE(CONTROL!$C$23, $C$13, 100%, $E$13)</f>
        <v>6.1124999999999998</v>
      </c>
      <c r="I34" s="67">
        <f>6.1192 * CHOOSE(CONTROL!$C$23, $C$13, 100%, $E$13)</f>
        <v>6.1192000000000002</v>
      </c>
      <c r="J34" s="67">
        <f>3.2268 * CHOOSE(CONTROL!$C$23, $C$13, 100%, $E$13)</f>
        <v>3.2267999999999999</v>
      </c>
      <c r="K34" s="67">
        <f>3.2335 * CHOOSE(CONTROL!$C$23, $C$13, 100%, $E$13)</f>
        <v>3.2334999999999998</v>
      </c>
      <c r="L34" s="4"/>
      <c r="M34" s="67"/>
      <c r="N34" s="67"/>
    </row>
    <row r="35" spans="1:14" ht="15">
      <c r="A35" s="13">
        <v>42186</v>
      </c>
      <c r="B35" s="66">
        <f>2.5054 * CHOOSE(CONTROL!$C$23, $C$13, 100%, $E$13)</f>
        <v>2.5053999999999998</v>
      </c>
      <c r="C35" s="66">
        <f>2.5357 * CHOOSE(CONTROL!$C$23, $C$13, 100%, $E$13)</f>
        <v>2.5356999999999998</v>
      </c>
      <c r="D35" s="66">
        <f>2.5412 * CHOOSE(CONTROL!$C$23, $C$13, 100%, $E$13)</f>
        <v>2.5411999999999999</v>
      </c>
      <c r="E35" s="67">
        <f>3.2136 * CHOOSE(CONTROL!$C$23, $C$13, 100%, $E$13)</f>
        <v>3.2136</v>
      </c>
      <c r="F35" s="67">
        <f>3.254 * CHOOSE(CONTROL!$C$23, $C$13, 100%, $E$13)</f>
        <v>3.254</v>
      </c>
      <c r="G35" s="67">
        <f>3.2607 * CHOOSE(CONTROL!$C$23, $C$13, 100%, $E$13)</f>
        <v>3.2606999999999999</v>
      </c>
      <c r="H35" s="67">
        <f>6.1252* CHOOSE(CONTROL!$C$23, $C$13, 100%, $E$13)</f>
        <v>6.1252000000000004</v>
      </c>
      <c r="I35" s="67">
        <f>6.132 * CHOOSE(CONTROL!$C$23, $C$13, 100%, $E$13)</f>
        <v>6.1319999999999997</v>
      </c>
      <c r="J35" s="67">
        <f>3.2136 * CHOOSE(CONTROL!$C$23, $C$13, 100%, $E$13)</f>
        <v>3.2136</v>
      </c>
      <c r="K35" s="67">
        <f>3.2203 * CHOOSE(CONTROL!$C$23, $C$13, 100%, $E$13)</f>
        <v>3.2202999999999999</v>
      </c>
      <c r="L35" s="4"/>
      <c r="M35" s="67"/>
      <c r="N35" s="67"/>
    </row>
    <row r="36" spans="1:14" ht="15">
      <c r="A36" s="13">
        <v>42217</v>
      </c>
      <c r="B36" s="66">
        <f>2.5144 * CHOOSE(CONTROL!$C$23, $C$13, 100%, $E$13)</f>
        <v>2.5144000000000002</v>
      </c>
      <c r="C36" s="66">
        <f>2.5502 * CHOOSE(CONTROL!$C$23, $C$13, 100%, $E$13)</f>
        <v>2.5501999999999998</v>
      </c>
      <c r="D36" s="66">
        <f>2.5557 * CHOOSE(CONTROL!$C$23, $C$13, 100%, $E$13)</f>
        <v>2.5556999999999999</v>
      </c>
      <c r="E36" s="67">
        <f>3.2338 * CHOOSE(CONTROL!$C$23, $C$13, 100%, $E$13)</f>
        <v>3.2338</v>
      </c>
      <c r="F36" s="67">
        <f>3.254 * CHOOSE(CONTROL!$C$23, $C$13, 100%, $E$13)</f>
        <v>3.254</v>
      </c>
      <c r="G36" s="67">
        <f>3.2607 * CHOOSE(CONTROL!$C$23, $C$13, 100%, $E$13)</f>
        <v>3.2606999999999999</v>
      </c>
      <c r="H36" s="67">
        <f>6.138* CHOOSE(CONTROL!$C$23, $C$13, 100%, $E$13)</f>
        <v>6.1379999999999999</v>
      </c>
      <c r="I36" s="67">
        <f>6.1447 * CHOOSE(CONTROL!$C$23, $C$13, 100%, $E$13)</f>
        <v>6.1447000000000003</v>
      </c>
      <c r="J36" s="67">
        <f>3.2338 * CHOOSE(CONTROL!$C$23, $C$13, 100%, $E$13)</f>
        <v>3.2338</v>
      </c>
      <c r="K36" s="67">
        <f>3.2405 * CHOOSE(CONTROL!$C$23, $C$13, 100%, $E$13)</f>
        <v>3.2404999999999999</v>
      </c>
      <c r="L36" s="4"/>
      <c r="M36" s="67"/>
      <c r="N36" s="67"/>
    </row>
    <row r="37" spans="1:14" ht="15">
      <c r="A37" s="13">
        <v>42248</v>
      </c>
      <c r="B37" s="66">
        <f>2.5116 * CHOOSE(CONTROL!$C$23, $C$13, 100%, $E$13)</f>
        <v>2.5116000000000001</v>
      </c>
      <c r="C37" s="66">
        <f>2.5471 * CHOOSE(CONTROL!$C$23, $C$13, 100%, $E$13)</f>
        <v>2.5470999999999999</v>
      </c>
      <c r="D37" s="66">
        <f>2.5526 * CHOOSE(CONTROL!$C$23, $C$13, 100%, $E$13)</f>
        <v>2.5526</v>
      </c>
      <c r="E37" s="67">
        <f>3.2287 * CHOOSE(CONTROL!$C$23, $C$13, 100%, $E$13)</f>
        <v>3.2286999999999999</v>
      </c>
      <c r="F37" s="67">
        <f>3.254 * CHOOSE(CONTROL!$C$23, $C$13, 100%, $E$13)</f>
        <v>3.254</v>
      </c>
      <c r="G37" s="67">
        <f>3.2607 * CHOOSE(CONTROL!$C$23, $C$13, 100%, $E$13)</f>
        <v>3.2606999999999999</v>
      </c>
      <c r="H37" s="67">
        <f>6.1508* CHOOSE(CONTROL!$C$23, $C$13, 100%, $E$13)</f>
        <v>6.1508000000000003</v>
      </c>
      <c r="I37" s="67">
        <f>6.1575 * CHOOSE(CONTROL!$C$23, $C$13, 100%, $E$13)</f>
        <v>6.1574999999999998</v>
      </c>
      <c r="J37" s="67">
        <f>3.2287 * CHOOSE(CONTROL!$C$23, $C$13, 100%, $E$13)</f>
        <v>3.2286999999999999</v>
      </c>
      <c r="K37" s="67">
        <f>3.2355 * CHOOSE(CONTROL!$C$23, $C$13, 100%, $E$13)</f>
        <v>3.2355</v>
      </c>
      <c r="L37" s="4"/>
      <c r="M37" s="67"/>
      <c r="N37" s="67"/>
    </row>
    <row r="38" spans="1:14" ht="15">
      <c r="A38" s="13">
        <v>42278</v>
      </c>
      <c r="B38" s="66">
        <f>2.5077 * CHOOSE(CONTROL!$C$23, $C$13, 100%, $E$13)</f>
        <v>2.5076999999999998</v>
      </c>
      <c r="C38" s="66">
        <f>2.538 * CHOOSE(CONTROL!$C$23, $C$13, 100%, $E$13)</f>
        <v>2.5379999999999998</v>
      </c>
      <c r="D38" s="66">
        <f>2.5419 * CHOOSE(CONTROL!$C$23, $C$13, 100%, $E$13)</f>
        <v>2.5419</v>
      </c>
      <c r="E38" s="67">
        <f>3.2365 * CHOOSE(CONTROL!$C$23, $C$13, 100%, $E$13)</f>
        <v>3.2364999999999999</v>
      </c>
      <c r="F38" s="67">
        <f>3.254 * CHOOSE(CONTROL!$C$23, $C$13, 100%, $E$13)</f>
        <v>3.254</v>
      </c>
      <c r="G38" s="67">
        <f>3.2588 * CHOOSE(CONTROL!$C$23, $C$13, 100%, $E$13)</f>
        <v>3.2587999999999999</v>
      </c>
      <c r="H38" s="67">
        <f>6.1636* CHOOSE(CONTROL!$C$23, $C$13, 100%, $E$13)</f>
        <v>6.1635999999999997</v>
      </c>
      <c r="I38" s="67">
        <f>6.1683 * CHOOSE(CONTROL!$C$23, $C$13, 100%, $E$13)</f>
        <v>6.1683000000000003</v>
      </c>
      <c r="J38" s="67">
        <f>3.2365 * CHOOSE(CONTROL!$C$23, $C$13, 100%, $E$13)</f>
        <v>3.2364999999999999</v>
      </c>
      <c r="K38" s="67">
        <f>3.2413 * CHOOSE(CONTROL!$C$23, $C$13, 100%, $E$13)</f>
        <v>3.2412999999999998</v>
      </c>
      <c r="L38" s="4"/>
      <c r="M38" s="67"/>
      <c r="N38" s="67"/>
    </row>
    <row r="39" spans="1:14" ht="15">
      <c r="A39" s="13">
        <v>42309</v>
      </c>
      <c r="B39" s="66">
        <f>2.5106 * CHOOSE(CONTROL!$C$23, $C$13, 100%, $E$13)</f>
        <v>2.5106000000000002</v>
      </c>
      <c r="C39" s="66">
        <f>2.5433 * CHOOSE(CONTROL!$C$23, $C$13, 100%, $E$13)</f>
        <v>2.5432999999999999</v>
      </c>
      <c r="D39" s="66">
        <f>2.5472 * CHOOSE(CONTROL!$C$23, $C$13, 100%, $E$13)</f>
        <v>2.5472000000000001</v>
      </c>
      <c r="E39" s="67">
        <f>3.2365 * CHOOSE(CONTROL!$C$23, $C$13, 100%, $E$13)</f>
        <v>3.2364999999999999</v>
      </c>
      <c r="F39" s="67">
        <f>3.254 * CHOOSE(CONTROL!$C$23, $C$13, 100%, $E$13)</f>
        <v>3.254</v>
      </c>
      <c r="G39" s="67">
        <f>3.2588 * CHOOSE(CONTROL!$C$23, $C$13, 100%, $E$13)</f>
        <v>3.2587999999999999</v>
      </c>
      <c r="H39" s="67">
        <f>6.1764* CHOOSE(CONTROL!$C$23, $C$13, 100%, $E$13)</f>
        <v>6.1764000000000001</v>
      </c>
      <c r="I39" s="67">
        <f>6.1812 * CHOOSE(CONTROL!$C$23, $C$13, 100%, $E$13)</f>
        <v>6.1811999999999996</v>
      </c>
      <c r="J39" s="67">
        <f>3.2365 * CHOOSE(CONTROL!$C$23, $C$13, 100%, $E$13)</f>
        <v>3.2364999999999999</v>
      </c>
      <c r="K39" s="67">
        <f>3.2413 * CHOOSE(CONTROL!$C$23, $C$13, 100%, $E$13)</f>
        <v>3.2412999999999998</v>
      </c>
      <c r="L39" s="4"/>
      <c r="M39" s="67"/>
      <c r="N39" s="67"/>
    </row>
    <row r="40" spans="1:14" ht="15">
      <c r="A40" s="13">
        <v>42339</v>
      </c>
      <c r="B40" s="66">
        <f>2.5133 * CHOOSE(CONTROL!$C$23, $C$13, 100%, $E$13)</f>
        <v>2.5133000000000001</v>
      </c>
      <c r="C40" s="66">
        <f>2.5463 * CHOOSE(CONTROL!$C$23, $C$13, 100%, $E$13)</f>
        <v>2.5463</v>
      </c>
      <c r="D40" s="66">
        <f>2.5502 * CHOOSE(CONTROL!$C$23, $C$13, 100%, $E$13)</f>
        <v>2.5501999999999998</v>
      </c>
      <c r="E40" s="67">
        <f>3.2307 * CHOOSE(CONTROL!$C$23, $C$13, 100%, $E$13)</f>
        <v>3.2307000000000001</v>
      </c>
      <c r="F40" s="67">
        <f>3.254 * CHOOSE(CONTROL!$C$23, $C$13, 100%, $E$13)</f>
        <v>3.254</v>
      </c>
      <c r="G40" s="67">
        <f>3.2588 * CHOOSE(CONTROL!$C$23, $C$13, 100%, $E$13)</f>
        <v>3.2587999999999999</v>
      </c>
      <c r="H40" s="67">
        <f>6.1893* CHOOSE(CONTROL!$C$23, $C$13, 100%, $E$13)</f>
        <v>6.1893000000000002</v>
      </c>
      <c r="I40" s="67">
        <f>6.1941 * CHOOSE(CONTROL!$C$23, $C$13, 100%, $E$13)</f>
        <v>6.1940999999999997</v>
      </c>
      <c r="J40" s="67">
        <f>3.2307 * CHOOSE(CONTROL!$C$23, $C$13, 100%, $E$13)</f>
        <v>3.2307000000000001</v>
      </c>
      <c r="K40" s="67">
        <f>3.2354 * CHOOSE(CONTROL!$C$23, $C$13, 100%, $E$13)</f>
        <v>3.2353999999999998</v>
      </c>
      <c r="L40" s="4"/>
      <c r="M40" s="67"/>
      <c r="N40" s="67"/>
    </row>
    <row r="41" spans="1:14" ht="15">
      <c r="A41" s="13">
        <v>42370</v>
      </c>
      <c r="B41" s="66">
        <f>2.8414 * CHOOSE(CONTROL!$C$23, $C$13, 100%, $E$13)</f>
        <v>2.8414000000000001</v>
      </c>
      <c r="C41" s="66">
        <f>2.8414 * CHOOSE(CONTROL!$C$23, $C$13, 100%, $E$13)</f>
        <v>2.8414000000000001</v>
      </c>
      <c r="D41" s="66">
        <f>2.8453 * CHOOSE(CONTROL!$C$23, $C$13, 100%, $E$13)</f>
        <v>2.8452999999999999</v>
      </c>
      <c r="E41" s="67">
        <f>3.358 * CHOOSE(CONTROL!$C$23, $C$13, 100%, $E$13)</f>
        <v>3.3580000000000001</v>
      </c>
      <c r="F41" s="67">
        <f>3.446 * CHOOSE(CONTROL!$C$23, $C$13, 100%, $E$13)</f>
        <v>3.4460000000000002</v>
      </c>
      <c r="G41" s="67">
        <f>3.4508 * CHOOSE(CONTROL!$C$23, $C$13, 100%, $E$13)</f>
        <v>3.4508000000000001</v>
      </c>
      <c r="H41" s="67">
        <f>6.2022* CHOOSE(CONTROL!$C$23, $C$13, 100%, $E$13)</f>
        <v>6.2022000000000004</v>
      </c>
      <c r="I41" s="67">
        <f>6.2069 * CHOOSE(CONTROL!$C$23, $C$13, 100%, $E$13)</f>
        <v>6.2069000000000001</v>
      </c>
      <c r="J41" s="67">
        <f>3.358 * CHOOSE(CONTROL!$C$23, $C$13, 100%, $E$13)</f>
        <v>3.3580000000000001</v>
      </c>
      <c r="K41" s="67">
        <f>3.3628 * CHOOSE(CONTROL!$C$23, $C$13, 100%, $E$13)</f>
        <v>3.3628</v>
      </c>
      <c r="L41" s="4"/>
      <c r="M41" s="67"/>
      <c r="N41" s="67"/>
    </row>
    <row r="42" spans="1:14" ht="15">
      <c r="A42" s="13">
        <v>42401</v>
      </c>
      <c r="B42" s="66">
        <f>2.8414 * CHOOSE(CONTROL!$C$23, $C$13, 100%, $E$13)</f>
        <v>2.8414000000000001</v>
      </c>
      <c r="C42" s="66">
        <f>2.8414 * CHOOSE(CONTROL!$C$23, $C$13, 100%, $E$13)</f>
        <v>2.8414000000000001</v>
      </c>
      <c r="D42" s="66">
        <f>2.8453 * CHOOSE(CONTROL!$C$23, $C$13, 100%, $E$13)</f>
        <v>2.8452999999999999</v>
      </c>
      <c r="E42" s="67">
        <f>3.402 * CHOOSE(CONTROL!$C$23, $C$13, 100%, $E$13)</f>
        <v>3.4020000000000001</v>
      </c>
      <c r="F42" s="67">
        <f>3.446 * CHOOSE(CONTROL!$C$23, $C$13, 100%, $E$13)</f>
        <v>3.4460000000000002</v>
      </c>
      <c r="G42" s="67">
        <f>3.4508 * CHOOSE(CONTROL!$C$23, $C$13, 100%, $E$13)</f>
        <v>3.4508000000000001</v>
      </c>
      <c r="H42" s="67">
        <f>6.2151* CHOOSE(CONTROL!$C$23, $C$13, 100%, $E$13)</f>
        <v>6.2150999999999996</v>
      </c>
      <c r="I42" s="67">
        <f>6.2199 * CHOOSE(CONTROL!$C$23, $C$13, 100%, $E$13)</f>
        <v>6.2199</v>
      </c>
      <c r="J42" s="67">
        <f>3.402 * CHOOSE(CONTROL!$C$23, $C$13, 100%, $E$13)</f>
        <v>3.4020000000000001</v>
      </c>
      <c r="K42" s="67">
        <f>3.4068 * CHOOSE(CONTROL!$C$23, $C$13, 100%, $E$13)</f>
        <v>3.4068000000000001</v>
      </c>
      <c r="L42" s="4"/>
      <c r="M42" s="67"/>
      <c r="N42" s="67"/>
    </row>
    <row r="43" spans="1:14" ht="15">
      <c r="A43" s="13">
        <v>42430</v>
      </c>
      <c r="B43" s="66">
        <f>2.8384 * CHOOSE(CONTROL!$C$23, $C$13, 100%, $E$13)</f>
        <v>2.8384</v>
      </c>
      <c r="C43" s="66">
        <f>2.8384 * CHOOSE(CONTROL!$C$23, $C$13, 100%, $E$13)</f>
        <v>2.8384</v>
      </c>
      <c r="D43" s="66">
        <f>2.8422 * CHOOSE(CONTROL!$C$23, $C$13, 100%, $E$13)</f>
        <v>2.8422000000000001</v>
      </c>
      <c r="E43" s="67">
        <f>3.358 * CHOOSE(CONTROL!$C$23, $C$13, 100%, $E$13)</f>
        <v>3.3580000000000001</v>
      </c>
      <c r="F43" s="67">
        <f>3.446 * CHOOSE(CONTROL!$C$23, $C$13, 100%, $E$13)</f>
        <v>3.4460000000000002</v>
      </c>
      <c r="G43" s="67">
        <f>3.4508 * CHOOSE(CONTROL!$C$23, $C$13, 100%, $E$13)</f>
        <v>3.4508000000000001</v>
      </c>
      <c r="H43" s="67">
        <f>6.228* CHOOSE(CONTROL!$C$23, $C$13, 100%, $E$13)</f>
        <v>6.2279999999999998</v>
      </c>
      <c r="I43" s="67">
        <f>6.2328 * CHOOSE(CONTROL!$C$23, $C$13, 100%, $E$13)</f>
        <v>6.2328000000000001</v>
      </c>
      <c r="J43" s="67">
        <f>3.358 * CHOOSE(CONTROL!$C$23, $C$13, 100%, $E$13)</f>
        <v>3.3580000000000001</v>
      </c>
      <c r="K43" s="67">
        <f>3.3628 * CHOOSE(CONTROL!$C$23, $C$13, 100%, $E$13)</f>
        <v>3.3628</v>
      </c>
      <c r="L43" s="4"/>
      <c r="M43" s="67"/>
      <c r="N43" s="67"/>
    </row>
    <row r="44" spans="1:14" ht="15">
      <c r="A44" s="13">
        <v>42461</v>
      </c>
      <c r="B44" s="66">
        <f>2.8276 * CHOOSE(CONTROL!$C$23, $C$13, 100%, $E$13)</f>
        <v>2.8275999999999999</v>
      </c>
      <c r="C44" s="66">
        <f>2.8276 * CHOOSE(CONTROL!$C$23, $C$13, 100%, $E$13)</f>
        <v>2.8275999999999999</v>
      </c>
      <c r="D44" s="66">
        <f>2.8315 * CHOOSE(CONTROL!$C$23, $C$13, 100%, $E$13)</f>
        <v>2.8315000000000001</v>
      </c>
      <c r="E44" s="67">
        <f>3.402 * CHOOSE(CONTROL!$C$23, $C$13, 100%, $E$13)</f>
        <v>3.4020000000000001</v>
      </c>
      <c r="F44" s="67">
        <f>3.446 * CHOOSE(CONTROL!$C$23, $C$13, 100%, $E$13)</f>
        <v>3.4460000000000002</v>
      </c>
      <c r="G44" s="67">
        <f>3.4508 * CHOOSE(CONTROL!$C$23, $C$13, 100%, $E$13)</f>
        <v>3.4508000000000001</v>
      </c>
      <c r="H44" s="67">
        <f>6.241* CHOOSE(CONTROL!$C$23, $C$13, 100%, $E$13)</f>
        <v>6.2409999999999997</v>
      </c>
      <c r="I44" s="67">
        <f>6.2458 * CHOOSE(CONTROL!$C$23, $C$13, 100%, $E$13)</f>
        <v>6.2458</v>
      </c>
      <c r="J44" s="67">
        <f>3.402 * CHOOSE(CONTROL!$C$23, $C$13, 100%, $E$13)</f>
        <v>3.4020000000000001</v>
      </c>
      <c r="K44" s="67">
        <f>3.4068 * CHOOSE(CONTROL!$C$23, $C$13, 100%, $E$13)</f>
        <v>3.4068000000000001</v>
      </c>
      <c r="L44" s="4"/>
      <c r="M44" s="67"/>
      <c r="N44" s="67"/>
    </row>
    <row r="45" spans="1:14" ht="15">
      <c r="A45" s="13">
        <v>42491</v>
      </c>
      <c r="B45" s="66">
        <f>2.8307 * CHOOSE(CONTROL!$C$23, $C$13, 100%, $E$13)</f>
        <v>2.8307000000000002</v>
      </c>
      <c r="C45" s="66">
        <f>2.8307 * CHOOSE(CONTROL!$C$23, $C$13, 100%, $E$13)</f>
        <v>2.8307000000000002</v>
      </c>
      <c r="D45" s="66">
        <f>2.8362 * CHOOSE(CONTROL!$C$23, $C$13, 100%, $E$13)</f>
        <v>2.8361999999999998</v>
      </c>
      <c r="E45" s="67">
        <f>3.358 * CHOOSE(CONTROL!$C$23, $C$13, 100%, $E$13)</f>
        <v>3.3580000000000001</v>
      </c>
      <c r="F45" s="67">
        <f>3.446 * CHOOSE(CONTROL!$C$23, $C$13, 100%, $E$13)</f>
        <v>3.4460000000000002</v>
      </c>
      <c r="G45" s="67">
        <f>3.4527 * CHOOSE(CONTROL!$C$23, $C$13, 100%, $E$13)</f>
        <v>3.4527000000000001</v>
      </c>
      <c r="H45" s="67">
        <f>6.254* CHOOSE(CONTROL!$C$23, $C$13, 100%, $E$13)</f>
        <v>6.2539999999999996</v>
      </c>
      <c r="I45" s="67">
        <f>6.2608 * CHOOSE(CONTROL!$C$23, $C$13, 100%, $E$13)</f>
        <v>6.2607999999999997</v>
      </c>
      <c r="J45" s="67">
        <f>3.358 * CHOOSE(CONTROL!$C$23, $C$13, 100%, $E$13)</f>
        <v>3.3580000000000001</v>
      </c>
      <c r="K45" s="67">
        <f>3.3647 * CHOOSE(CONTROL!$C$23, $C$13, 100%, $E$13)</f>
        <v>3.3647</v>
      </c>
      <c r="L45" s="4"/>
      <c r="M45" s="67"/>
      <c r="N45" s="67"/>
    </row>
    <row r="46" spans="1:14" ht="15">
      <c r="A46" s="13">
        <v>42522</v>
      </c>
      <c r="B46" s="66">
        <f>2.8398 * CHOOSE(CONTROL!$C$23, $C$13, 100%, $E$13)</f>
        <v>2.8397999999999999</v>
      </c>
      <c r="C46" s="66">
        <f>2.8398 * CHOOSE(CONTROL!$C$23, $C$13, 100%, $E$13)</f>
        <v>2.8397999999999999</v>
      </c>
      <c r="D46" s="66">
        <f>2.8453 * CHOOSE(CONTROL!$C$23, $C$13, 100%, $E$13)</f>
        <v>2.8452999999999999</v>
      </c>
      <c r="E46" s="67">
        <f>3.402 * CHOOSE(CONTROL!$C$23, $C$13, 100%, $E$13)</f>
        <v>3.4020000000000001</v>
      </c>
      <c r="F46" s="67">
        <f>3.446 * CHOOSE(CONTROL!$C$23, $C$13, 100%, $E$13)</f>
        <v>3.4460000000000002</v>
      </c>
      <c r="G46" s="67">
        <f>3.4527 * CHOOSE(CONTROL!$C$23, $C$13, 100%, $E$13)</f>
        <v>3.4527000000000001</v>
      </c>
      <c r="H46" s="67">
        <f>6.2671* CHOOSE(CONTROL!$C$23, $C$13, 100%, $E$13)</f>
        <v>6.2671000000000001</v>
      </c>
      <c r="I46" s="67">
        <f>6.2738 * CHOOSE(CONTROL!$C$23, $C$13, 100%, $E$13)</f>
        <v>6.2737999999999996</v>
      </c>
      <c r="J46" s="67">
        <f>3.402 * CHOOSE(CONTROL!$C$23, $C$13, 100%, $E$13)</f>
        <v>3.4020000000000001</v>
      </c>
      <c r="K46" s="67">
        <f>3.4087 * CHOOSE(CONTROL!$C$23, $C$13, 100%, $E$13)</f>
        <v>3.4087000000000001</v>
      </c>
      <c r="L46" s="4"/>
      <c r="M46" s="67"/>
      <c r="N46" s="67"/>
    </row>
    <row r="47" spans="1:14" ht="15">
      <c r="A47" s="13">
        <v>42552</v>
      </c>
      <c r="B47" s="66">
        <f>2.8772 * CHOOSE(CONTROL!$C$23, $C$13, 100%, $E$13)</f>
        <v>2.8772000000000002</v>
      </c>
      <c r="C47" s="66">
        <f>2.8772 * CHOOSE(CONTROL!$C$23, $C$13, 100%, $E$13)</f>
        <v>2.8772000000000002</v>
      </c>
      <c r="D47" s="66">
        <f>2.8827 * CHOOSE(CONTROL!$C$23, $C$13, 100%, $E$13)</f>
        <v>2.8826999999999998</v>
      </c>
      <c r="E47" s="67">
        <f>3.3756 * CHOOSE(CONTROL!$C$23, $C$13, 100%, $E$13)</f>
        <v>3.3755999999999999</v>
      </c>
      <c r="F47" s="67">
        <f>3.446 * CHOOSE(CONTROL!$C$23, $C$13, 100%, $E$13)</f>
        <v>3.4460000000000002</v>
      </c>
      <c r="G47" s="67">
        <f>3.4527 * CHOOSE(CONTROL!$C$23, $C$13, 100%, $E$13)</f>
        <v>3.4527000000000001</v>
      </c>
      <c r="H47" s="67">
        <f>6.2801* CHOOSE(CONTROL!$C$23, $C$13, 100%, $E$13)</f>
        <v>6.2801</v>
      </c>
      <c r="I47" s="67">
        <f>6.2868 * CHOOSE(CONTROL!$C$23, $C$13, 100%, $E$13)</f>
        <v>6.2868000000000004</v>
      </c>
      <c r="J47" s="67">
        <f>3.3756 * CHOOSE(CONTROL!$C$23, $C$13, 100%, $E$13)</f>
        <v>3.3755999999999999</v>
      </c>
      <c r="K47" s="67">
        <f>3.3823 * CHOOSE(CONTROL!$C$23, $C$13, 100%, $E$13)</f>
        <v>3.3822999999999999</v>
      </c>
      <c r="L47" s="4"/>
      <c r="M47" s="4"/>
      <c r="N47" s="4"/>
    </row>
    <row r="48" spans="1:14" ht="15">
      <c r="A48" s="13">
        <v>42583</v>
      </c>
      <c r="B48" s="66">
        <f>2.9046 * CHOOSE(CONTROL!$C$23, $C$13, 100%, $E$13)</f>
        <v>2.9045999999999998</v>
      </c>
      <c r="C48" s="66">
        <f>2.9046 * CHOOSE(CONTROL!$C$23, $C$13, 100%, $E$13)</f>
        <v>2.9045999999999998</v>
      </c>
      <c r="D48" s="66">
        <f>2.9101 * CHOOSE(CONTROL!$C$23, $C$13, 100%, $E$13)</f>
        <v>2.9100999999999999</v>
      </c>
      <c r="E48" s="67">
        <f>3.4108 * CHOOSE(CONTROL!$C$23, $C$13, 100%, $E$13)</f>
        <v>3.4108000000000001</v>
      </c>
      <c r="F48" s="67">
        <f>3.446 * CHOOSE(CONTROL!$C$23, $C$13, 100%, $E$13)</f>
        <v>3.4460000000000002</v>
      </c>
      <c r="G48" s="67">
        <f>3.4527 * CHOOSE(CONTROL!$C$23, $C$13, 100%, $E$13)</f>
        <v>3.4527000000000001</v>
      </c>
      <c r="H48" s="67">
        <f>6.2932* CHOOSE(CONTROL!$C$23, $C$13, 100%, $E$13)</f>
        <v>6.2931999999999997</v>
      </c>
      <c r="I48" s="67">
        <f>6.2999 * CHOOSE(CONTROL!$C$23, $C$13, 100%, $E$13)</f>
        <v>6.2999000000000001</v>
      </c>
      <c r="J48" s="67">
        <f>3.4108 * CHOOSE(CONTROL!$C$23, $C$13, 100%, $E$13)</f>
        <v>3.4108000000000001</v>
      </c>
      <c r="K48" s="67">
        <f>3.4175 * CHOOSE(CONTROL!$C$23, $C$13, 100%, $E$13)</f>
        <v>3.4175</v>
      </c>
      <c r="L48" s="4"/>
      <c r="M48" s="4"/>
      <c r="N48" s="4"/>
    </row>
    <row r="49" spans="1:14" ht="15">
      <c r="A49" s="13">
        <v>42614</v>
      </c>
      <c r="B49" s="66">
        <f>2.8985 * CHOOSE(CONTROL!$C$23, $C$13, 100%, $E$13)</f>
        <v>2.8984999999999999</v>
      </c>
      <c r="C49" s="66">
        <f>2.8985 * CHOOSE(CONTROL!$C$23, $C$13, 100%, $E$13)</f>
        <v>2.8984999999999999</v>
      </c>
      <c r="D49" s="66">
        <f>2.904 * CHOOSE(CONTROL!$C$23, $C$13, 100%, $E$13)</f>
        <v>2.9039999999999999</v>
      </c>
      <c r="E49" s="67">
        <f>3.358 * CHOOSE(CONTROL!$C$23, $C$13, 100%, $E$13)</f>
        <v>3.3580000000000001</v>
      </c>
      <c r="F49" s="67">
        <f>3.446 * CHOOSE(CONTROL!$C$23, $C$13, 100%, $E$13)</f>
        <v>3.4460000000000002</v>
      </c>
      <c r="G49" s="67">
        <f>3.4527 * CHOOSE(CONTROL!$C$23, $C$13, 100%, $E$13)</f>
        <v>3.4527000000000001</v>
      </c>
      <c r="H49" s="67">
        <f>6.3063* CHOOSE(CONTROL!$C$23, $C$13, 100%, $E$13)</f>
        <v>6.3063000000000002</v>
      </c>
      <c r="I49" s="67">
        <f>6.313 * CHOOSE(CONTROL!$C$23, $C$13, 100%, $E$13)</f>
        <v>6.3129999999999997</v>
      </c>
      <c r="J49" s="67">
        <f>3.358 * CHOOSE(CONTROL!$C$23, $C$13, 100%, $E$13)</f>
        <v>3.3580000000000001</v>
      </c>
      <c r="K49" s="67">
        <f>3.3647 * CHOOSE(CONTROL!$C$23, $C$13, 100%, $E$13)</f>
        <v>3.3647</v>
      </c>
      <c r="L49" s="4"/>
      <c r="M49" s="4"/>
      <c r="N49" s="4"/>
    </row>
    <row r="50" spans="1:14" ht="15">
      <c r="A50" s="13">
        <v>42644</v>
      </c>
      <c r="B50" s="66">
        <f>2.9149 * CHOOSE(CONTROL!$C$23, $C$13, 100%, $E$13)</f>
        <v>2.9148999999999998</v>
      </c>
      <c r="C50" s="66">
        <f>2.9149 * CHOOSE(CONTROL!$C$23, $C$13, 100%, $E$13)</f>
        <v>2.9148999999999998</v>
      </c>
      <c r="D50" s="66">
        <f>2.9188 * CHOOSE(CONTROL!$C$23, $C$13, 100%, $E$13)</f>
        <v>2.9188000000000001</v>
      </c>
      <c r="E50" s="67">
        <f>3.3756 * CHOOSE(CONTROL!$C$23, $C$13, 100%, $E$13)</f>
        <v>3.3755999999999999</v>
      </c>
      <c r="F50" s="67">
        <f>3.446 * CHOOSE(CONTROL!$C$23, $C$13, 100%, $E$13)</f>
        <v>3.4460000000000002</v>
      </c>
      <c r="G50" s="67">
        <f>3.4508 * CHOOSE(CONTROL!$C$23, $C$13, 100%, $E$13)</f>
        <v>3.4508000000000001</v>
      </c>
      <c r="H50" s="67">
        <f>6.3194* CHOOSE(CONTROL!$C$23, $C$13, 100%, $E$13)</f>
        <v>6.3193999999999999</v>
      </c>
      <c r="I50" s="67">
        <f>6.3242 * CHOOSE(CONTROL!$C$23, $C$13, 100%, $E$13)</f>
        <v>6.3242000000000003</v>
      </c>
      <c r="J50" s="67">
        <f>3.3756 * CHOOSE(CONTROL!$C$23, $C$13, 100%, $E$13)</f>
        <v>3.3755999999999999</v>
      </c>
      <c r="K50" s="67">
        <f>3.3804 * CHOOSE(CONTROL!$C$23, $C$13, 100%, $E$13)</f>
        <v>3.3803999999999998</v>
      </c>
      <c r="L50" s="4"/>
      <c r="M50" s="4"/>
      <c r="N50" s="4"/>
    </row>
    <row r="51" spans="1:14" ht="15">
      <c r="A51" s="13">
        <v>42675</v>
      </c>
      <c r="B51" s="66">
        <f>2.918 * CHOOSE(CONTROL!$C$23, $C$13, 100%, $E$13)</f>
        <v>2.9180000000000001</v>
      </c>
      <c r="C51" s="66">
        <f>2.918 * CHOOSE(CONTROL!$C$23, $C$13, 100%, $E$13)</f>
        <v>2.9180000000000001</v>
      </c>
      <c r="D51" s="66">
        <f>2.9219 * CHOOSE(CONTROL!$C$23, $C$13, 100%, $E$13)</f>
        <v>2.9218999999999999</v>
      </c>
      <c r="E51" s="67">
        <f>3.402 * CHOOSE(CONTROL!$C$23, $C$13, 100%, $E$13)</f>
        <v>3.4020000000000001</v>
      </c>
      <c r="F51" s="67">
        <f>3.446 * CHOOSE(CONTROL!$C$23, $C$13, 100%, $E$13)</f>
        <v>3.4460000000000002</v>
      </c>
      <c r="G51" s="67">
        <f>3.4508 * CHOOSE(CONTROL!$C$23, $C$13, 100%, $E$13)</f>
        <v>3.4508000000000001</v>
      </c>
      <c r="H51" s="67">
        <f>6.3326* CHOOSE(CONTROL!$C$23, $C$13, 100%, $E$13)</f>
        <v>6.3326000000000002</v>
      </c>
      <c r="I51" s="67">
        <f>6.3374 * CHOOSE(CONTROL!$C$23, $C$13, 100%, $E$13)</f>
        <v>6.3373999999999997</v>
      </c>
      <c r="J51" s="67">
        <f>3.402 * CHOOSE(CONTROL!$C$23, $C$13, 100%, $E$13)</f>
        <v>3.4020000000000001</v>
      </c>
      <c r="K51" s="67">
        <f>3.4068 * CHOOSE(CONTROL!$C$23, $C$13, 100%, $E$13)</f>
        <v>3.4068000000000001</v>
      </c>
      <c r="L51" s="4"/>
      <c r="M51" s="4"/>
      <c r="N51" s="4"/>
    </row>
    <row r="52" spans="1:14" ht="15">
      <c r="A52" s="13">
        <v>42705</v>
      </c>
      <c r="B52" s="66">
        <f>2.921 * CHOOSE(CONTROL!$C$23, $C$13, 100%, $E$13)</f>
        <v>2.9209999999999998</v>
      </c>
      <c r="C52" s="66">
        <f>2.921 * CHOOSE(CONTROL!$C$23, $C$13, 100%, $E$13)</f>
        <v>2.9209999999999998</v>
      </c>
      <c r="D52" s="66">
        <f>2.9249 * CHOOSE(CONTROL!$C$23, $C$13, 100%, $E$13)</f>
        <v>2.9249000000000001</v>
      </c>
      <c r="E52" s="67">
        <f>3.446 * CHOOSE(CONTROL!$C$23, $C$13, 100%, $E$13)</f>
        <v>3.4460000000000002</v>
      </c>
      <c r="F52" s="67">
        <f>3.446 * CHOOSE(CONTROL!$C$23, $C$13, 100%, $E$13)</f>
        <v>3.4460000000000002</v>
      </c>
      <c r="G52" s="67">
        <f>3.4508 * CHOOSE(CONTROL!$C$23, $C$13, 100%, $E$13)</f>
        <v>3.4508000000000001</v>
      </c>
      <c r="H52" s="67">
        <f>6.3458* CHOOSE(CONTROL!$C$23, $C$13, 100%, $E$13)</f>
        <v>6.3457999999999997</v>
      </c>
      <c r="I52" s="67">
        <f>6.3506 * CHOOSE(CONTROL!$C$23, $C$13, 100%, $E$13)</f>
        <v>6.3506</v>
      </c>
      <c r="J52" s="67">
        <f>3.446 * CHOOSE(CONTROL!$C$23, $C$13, 100%, $E$13)</f>
        <v>3.4460000000000002</v>
      </c>
      <c r="K52" s="67">
        <f>3.4508 * CHOOSE(CONTROL!$C$23, $C$13, 100%, $E$13)</f>
        <v>3.4508000000000001</v>
      </c>
      <c r="L52" s="4"/>
      <c r="M52" s="4"/>
      <c r="N52" s="4"/>
    </row>
    <row r="53" spans="1:14" ht="15">
      <c r="A53" s="13">
        <v>42736</v>
      </c>
      <c r="B53" s="66">
        <f>2.9632 * CHOOSE(CONTROL!$C$23, $C$13, 100%, $E$13)</f>
        <v>2.9632000000000001</v>
      </c>
      <c r="C53" s="66">
        <f>2.9632 * CHOOSE(CONTROL!$C$23, $C$13, 100%, $E$13)</f>
        <v>2.9632000000000001</v>
      </c>
      <c r="D53" s="66">
        <f>2.9671 * CHOOSE(CONTROL!$C$23, $C$13, 100%, $E$13)</f>
        <v>2.9670999999999998</v>
      </c>
      <c r="E53" s="67">
        <f>3.5517 * CHOOSE(CONTROL!$C$23, $C$13, 100%, $E$13)</f>
        <v>3.5516999999999999</v>
      </c>
      <c r="F53" s="67">
        <f>3.5517 * CHOOSE(CONTROL!$C$23, $C$13, 100%, $E$13)</f>
        <v>3.5516999999999999</v>
      </c>
      <c r="G53" s="67">
        <f>3.5564 * CHOOSE(CONTROL!$C$23, $C$13, 100%, $E$13)</f>
        <v>3.5564</v>
      </c>
      <c r="H53" s="67">
        <f>6.359* CHOOSE(CONTROL!$C$23, $C$13, 100%, $E$13)</f>
        <v>6.359</v>
      </c>
      <c r="I53" s="67">
        <f>6.3638 * CHOOSE(CONTROL!$C$23, $C$13, 100%, $E$13)</f>
        <v>6.3638000000000003</v>
      </c>
      <c r="J53" s="67">
        <f>3.5517 * CHOOSE(CONTROL!$C$23, $C$13, 100%, $E$13)</f>
        <v>3.5516999999999999</v>
      </c>
      <c r="K53" s="67">
        <f>3.5564 * CHOOSE(CONTROL!$C$23, $C$13, 100%, $E$13)</f>
        <v>3.5564</v>
      </c>
      <c r="L53" s="4"/>
      <c r="M53" s="4"/>
      <c r="N53" s="4"/>
    </row>
    <row r="54" spans="1:14" ht="15">
      <c r="A54" s="13">
        <v>42767</v>
      </c>
      <c r="B54" s="66">
        <f>2.9601 * CHOOSE(CONTROL!$C$23, $C$13, 100%, $E$13)</f>
        <v>2.9601000000000002</v>
      </c>
      <c r="C54" s="66">
        <f>2.9601 * CHOOSE(CONTROL!$C$23, $C$13, 100%, $E$13)</f>
        <v>2.9601000000000002</v>
      </c>
      <c r="D54" s="66">
        <f>2.964 * CHOOSE(CONTROL!$C$23, $C$13, 100%, $E$13)</f>
        <v>2.964</v>
      </c>
      <c r="E54" s="67">
        <f>3.521 * CHOOSE(CONTROL!$C$23, $C$13, 100%, $E$13)</f>
        <v>3.5209999999999999</v>
      </c>
      <c r="F54" s="67">
        <f>3.521 * CHOOSE(CONTROL!$C$23, $C$13, 100%, $E$13)</f>
        <v>3.5209999999999999</v>
      </c>
      <c r="G54" s="67">
        <f>3.5258 * CHOOSE(CONTROL!$C$23, $C$13, 100%, $E$13)</f>
        <v>3.5257999999999998</v>
      </c>
      <c r="H54" s="67">
        <f>6.3723* CHOOSE(CONTROL!$C$23, $C$13, 100%, $E$13)</f>
        <v>6.3723000000000001</v>
      </c>
      <c r="I54" s="67">
        <f>6.377 * CHOOSE(CONTROL!$C$23, $C$13, 100%, $E$13)</f>
        <v>6.3769999999999998</v>
      </c>
      <c r="J54" s="67">
        <f>3.521 * CHOOSE(CONTROL!$C$23, $C$13, 100%, $E$13)</f>
        <v>3.5209999999999999</v>
      </c>
      <c r="K54" s="67">
        <f>3.5258 * CHOOSE(CONTROL!$C$23, $C$13, 100%, $E$13)</f>
        <v>3.5257999999999998</v>
      </c>
      <c r="L54" s="4"/>
      <c r="M54" s="4"/>
      <c r="N54" s="4"/>
    </row>
    <row r="55" spans="1:14" ht="15">
      <c r="A55" s="13">
        <v>42795</v>
      </c>
      <c r="B55" s="66">
        <f>2.9571 * CHOOSE(CONTROL!$C$23, $C$13, 100%, $E$13)</f>
        <v>2.9571000000000001</v>
      </c>
      <c r="C55" s="66">
        <f>2.9571 * CHOOSE(CONTROL!$C$23, $C$13, 100%, $E$13)</f>
        <v>2.9571000000000001</v>
      </c>
      <c r="D55" s="66">
        <f>2.961 * CHOOSE(CONTROL!$C$23, $C$13, 100%, $E$13)</f>
        <v>2.9609999999999999</v>
      </c>
      <c r="E55" s="67">
        <f>3.5414 * CHOOSE(CONTROL!$C$23, $C$13, 100%, $E$13)</f>
        <v>3.5413999999999999</v>
      </c>
      <c r="F55" s="67">
        <f>3.5414 * CHOOSE(CONTROL!$C$23, $C$13, 100%, $E$13)</f>
        <v>3.5413999999999999</v>
      </c>
      <c r="G55" s="67">
        <f>3.5462 * CHOOSE(CONTROL!$C$23, $C$13, 100%, $E$13)</f>
        <v>3.5461999999999998</v>
      </c>
      <c r="H55" s="67">
        <f>6.3855* CHOOSE(CONTROL!$C$23, $C$13, 100%, $E$13)</f>
        <v>6.3855000000000004</v>
      </c>
      <c r="I55" s="67">
        <f>6.3903 * CHOOSE(CONTROL!$C$23, $C$13, 100%, $E$13)</f>
        <v>6.3902999999999999</v>
      </c>
      <c r="J55" s="67">
        <f>3.5414 * CHOOSE(CONTROL!$C$23, $C$13, 100%, $E$13)</f>
        <v>3.5413999999999999</v>
      </c>
      <c r="K55" s="67">
        <f>3.5462 * CHOOSE(CONTROL!$C$23, $C$13, 100%, $E$13)</f>
        <v>3.5461999999999998</v>
      </c>
      <c r="L55" s="4"/>
      <c r="M55" s="4"/>
      <c r="N55" s="4"/>
    </row>
    <row r="56" spans="1:14" ht="15">
      <c r="A56" s="13">
        <v>42826</v>
      </c>
      <c r="B56" s="66">
        <f>2.9537 * CHOOSE(CONTROL!$C$23, $C$13, 100%, $E$13)</f>
        <v>2.9537</v>
      </c>
      <c r="C56" s="66">
        <f>2.9537 * CHOOSE(CONTROL!$C$23, $C$13, 100%, $E$13)</f>
        <v>2.9537</v>
      </c>
      <c r="D56" s="66">
        <f>2.9576 * CHOOSE(CONTROL!$C$23, $C$13, 100%, $E$13)</f>
        <v>2.9575999999999998</v>
      </c>
      <c r="E56" s="67">
        <f>3.5613 * CHOOSE(CONTROL!$C$23, $C$13, 100%, $E$13)</f>
        <v>3.5613000000000001</v>
      </c>
      <c r="F56" s="67">
        <f>3.5613 * CHOOSE(CONTROL!$C$23, $C$13, 100%, $E$13)</f>
        <v>3.5613000000000001</v>
      </c>
      <c r="G56" s="67">
        <f>3.5661 * CHOOSE(CONTROL!$C$23, $C$13, 100%, $E$13)</f>
        <v>3.5661</v>
      </c>
      <c r="H56" s="67">
        <f>6.3988* CHOOSE(CONTROL!$C$23, $C$13, 100%, $E$13)</f>
        <v>6.3987999999999996</v>
      </c>
      <c r="I56" s="67">
        <f>6.4036 * CHOOSE(CONTROL!$C$23, $C$13, 100%, $E$13)</f>
        <v>6.4036</v>
      </c>
      <c r="J56" s="67">
        <f>3.5613 * CHOOSE(CONTROL!$C$23, $C$13, 100%, $E$13)</f>
        <v>3.5613000000000001</v>
      </c>
      <c r="K56" s="67">
        <f>3.5661 * CHOOSE(CONTROL!$C$23, $C$13, 100%, $E$13)</f>
        <v>3.5661</v>
      </c>
      <c r="L56" s="4"/>
      <c r="M56" s="4"/>
      <c r="N56" s="4"/>
    </row>
    <row r="57" spans="1:14" ht="15">
      <c r="A57" s="13">
        <v>42856</v>
      </c>
      <c r="B57" s="66">
        <f>2.9537 * CHOOSE(CONTROL!$C$23, $C$13, 100%, $E$13)</f>
        <v>2.9537</v>
      </c>
      <c r="C57" s="66">
        <f>2.9537 * CHOOSE(CONTROL!$C$23, $C$13, 100%, $E$13)</f>
        <v>2.9537</v>
      </c>
      <c r="D57" s="66">
        <f>2.9592 * CHOOSE(CONTROL!$C$23, $C$13, 100%, $E$13)</f>
        <v>2.9592000000000001</v>
      </c>
      <c r="E57" s="67">
        <f>3.5704 * CHOOSE(CONTROL!$C$23, $C$13, 100%, $E$13)</f>
        <v>3.5703999999999998</v>
      </c>
      <c r="F57" s="67">
        <f>3.5704 * CHOOSE(CONTROL!$C$23, $C$13, 100%, $E$13)</f>
        <v>3.5703999999999998</v>
      </c>
      <c r="G57" s="67">
        <f>3.5771 * CHOOSE(CONTROL!$C$23, $C$13, 100%, $E$13)</f>
        <v>3.5771000000000002</v>
      </c>
      <c r="H57" s="67">
        <f>6.4122* CHOOSE(CONTROL!$C$23, $C$13, 100%, $E$13)</f>
        <v>6.4122000000000003</v>
      </c>
      <c r="I57" s="67">
        <f>6.4189 * CHOOSE(CONTROL!$C$23, $C$13, 100%, $E$13)</f>
        <v>6.4188999999999998</v>
      </c>
      <c r="J57" s="67">
        <f>3.5704 * CHOOSE(CONTROL!$C$23, $C$13, 100%, $E$13)</f>
        <v>3.5703999999999998</v>
      </c>
      <c r="K57" s="67">
        <f>3.5771 * CHOOSE(CONTROL!$C$23, $C$13, 100%, $E$13)</f>
        <v>3.5771000000000002</v>
      </c>
      <c r="L57" s="4"/>
      <c r="M57" s="4"/>
      <c r="N57" s="4"/>
    </row>
    <row r="58" spans="1:14" ht="15">
      <c r="A58" s="13">
        <v>42887</v>
      </c>
      <c r="B58" s="66">
        <f>2.9598 * CHOOSE(CONTROL!$C$23, $C$13, 100%, $E$13)</f>
        <v>2.9598</v>
      </c>
      <c r="C58" s="66">
        <f>2.9598 * CHOOSE(CONTROL!$C$23, $C$13, 100%, $E$13)</f>
        <v>2.9598</v>
      </c>
      <c r="D58" s="66">
        <f>2.9653 * CHOOSE(CONTROL!$C$23, $C$13, 100%, $E$13)</f>
        <v>2.9653</v>
      </c>
      <c r="E58" s="67">
        <f>3.5655 * CHOOSE(CONTROL!$C$23, $C$13, 100%, $E$13)</f>
        <v>3.5655000000000001</v>
      </c>
      <c r="F58" s="67">
        <f>3.5655 * CHOOSE(CONTROL!$C$23, $C$13, 100%, $E$13)</f>
        <v>3.5655000000000001</v>
      </c>
      <c r="G58" s="67">
        <f>3.5723 * CHOOSE(CONTROL!$C$23, $C$13, 100%, $E$13)</f>
        <v>3.5722999999999998</v>
      </c>
      <c r="H58" s="67">
        <f>6.4255* CHOOSE(CONTROL!$C$23, $C$13, 100%, $E$13)</f>
        <v>6.4255000000000004</v>
      </c>
      <c r="I58" s="67">
        <f>6.4323 * CHOOSE(CONTROL!$C$23, $C$13, 100%, $E$13)</f>
        <v>6.4322999999999997</v>
      </c>
      <c r="J58" s="67">
        <f>3.5655 * CHOOSE(CONTROL!$C$23, $C$13, 100%, $E$13)</f>
        <v>3.5655000000000001</v>
      </c>
      <c r="K58" s="67">
        <f>3.5723 * CHOOSE(CONTROL!$C$23, $C$13, 100%, $E$13)</f>
        <v>3.5722999999999998</v>
      </c>
      <c r="L58" s="4"/>
      <c r="M58" s="4"/>
      <c r="N58" s="4"/>
    </row>
    <row r="59" spans="1:14" ht="15">
      <c r="A59" s="13">
        <v>42917</v>
      </c>
      <c r="B59" s="66">
        <f>3.0475 * CHOOSE(CONTROL!$C$23, $C$13, 100%, $E$13)</f>
        <v>3.0474999999999999</v>
      </c>
      <c r="C59" s="66">
        <f>3.0475 * CHOOSE(CONTROL!$C$23, $C$13, 100%, $E$13)</f>
        <v>3.0474999999999999</v>
      </c>
      <c r="D59" s="66">
        <f>3.053 * CHOOSE(CONTROL!$C$23, $C$13, 100%, $E$13)</f>
        <v>3.0529999999999999</v>
      </c>
      <c r="E59" s="67">
        <f>3.6468 * CHOOSE(CONTROL!$C$23, $C$13, 100%, $E$13)</f>
        <v>3.6467999999999998</v>
      </c>
      <c r="F59" s="67">
        <f>3.6468 * CHOOSE(CONTROL!$C$23, $C$13, 100%, $E$13)</f>
        <v>3.6467999999999998</v>
      </c>
      <c r="G59" s="67">
        <f>3.6535 * CHOOSE(CONTROL!$C$23, $C$13, 100%, $E$13)</f>
        <v>3.6535000000000002</v>
      </c>
      <c r="H59" s="67">
        <f>6.4389* CHOOSE(CONTROL!$C$23, $C$13, 100%, $E$13)</f>
        <v>6.4389000000000003</v>
      </c>
      <c r="I59" s="67">
        <f>6.4457 * CHOOSE(CONTROL!$C$23, $C$13, 100%, $E$13)</f>
        <v>6.4457000000000004</v>
      </c>
      <c r="J59" s="67">
        <f>3.6468 * CHOOSE(CONTROL!$C$23, $C$13, 100%, $E$13)</f>
        <v>3.6467999999999998</v>
      </c>
      <c r="K59" s="67">
        <f>3.6535 * CHOOSE(CONTROL!$C$23, $C$13, 100%, $E$13)</f>
        <v>3.6535000000000002</v>
      </c>
      <c r="L59" s="4"/>
      <c r="M59" s="4"/>
      <c r="N59" s="4"/>
    </row>
    <row r="60" spans="1:14" ht="15">
      <c r="A60" s="13">
        <v>42948</v>
      </c>
      <c r="B60" s="66">
        <f>3.0542 * CHOOSE(CONTROL!$C$23, $C$13, 100%, $E$13)</f>
        <v>3.0541999999999998</v>
      </c>
      <c r="C60" s="66">
        <f>3.0542 * CHOOSE(CONTROL!$C$23, $C$13, 100%, $E$13)</f>
        <v>3.0541999999999998</v>
      </c>
      <c r="D60" s="66">
        <f>3.0597 * CHOOSE(CONTROL!$C$23, $C$13, 100%, $E$13)</f>
        <v>3.0596999999999999</v>
      </c>
      <c r="E60" s="67">
        <f>3.6242 * CHOOSE(CONTROL!$C$23, $C$13, 100%, $E$13)</f>
        <v>3.6242000000000001</v>
      </c>
      <c r="F60" s="67">
        <f>3.6242 * CHOOSE(CONTROL!$C$23, $C$13, 100%, $E$13)</f>
        <v>3.6242000000000001</v>
      </c>
      <c r="G60" s="67">
        <f>3.631 * CHOOSE(CONTROL!$C$23, $C$13, 100%, $E$13)</f>
        <v>3.6309999999999998</v>
      </c>
      <c r="H60" s="67">
        <f>6.4523* CHOOSE(CONTROL!$C$23, $C$13, 100%, $E$13)</f>
        <v>6.4523000000000001</v>
      </c>
      <c r="I60" s="67">
        <f>6.4591 * CHOOSE(CONTROL!$C$23, $C$13, 100%, $E$13)</f>
        <v>6.4591000000000003</v>
      </c>
      <c r="J60" s="67">
        <f>3.6242 * CHOOSE(CONTROL!$C$23, $C$13, 100%, $E$13)</f>
        <v>3.6242000000000001</v>
      </c>
      <c r="K60" s="67">
        <f>3.631 * CHOOSE(CONTROL!$C$23, $C$13, 100%, $E$13)</f>
        <v>3.6309999999999998</v>
      </c>
      <c r="L60" s="4"/>
      <c r="M60" s="4"/>
      <c r="N60" s="4"/>
    </row>
    <row r="61" spans="1:14" ht="15">
      <c r="A61" s="13">
        <v>42979</v>
      </c>
      <c r="B61" s="66">
        <f>3.0512 * CHOOSE(CONTROL!$C$23, $C$13, 100%, $E$13)</f>
        <v>3.0512000000000001</v>
      </c>
      <c r="C61" s="66">
        <f>3.0512 * CHOOSE(CONTROL!$C$23, $C$13, 100%, $E$13)</f>
        <v>3.0512000000000001</v>
      </c>
      <c r="D61" s="66">
        <f>3.0567 * CHOOSE(CONTROL!$C$23, $C$13, 100%, $E$13)</f>
        <v>3.0567000000000002</v>
      </c>
      <c r="E61" s="67">
        <f>3.6191 * CHOOSE(CONTROL!$C$23, $C$13, 100%, $E$13)</f>
        <v>3.6191</v>
      </c>
      <c r="F61" s="67">
        <f>3.6191 * CHOOSE(CONTROL!$C$23, $C$13, 100%, $E$13)</f>
        <v>3.6191</v>
      </c>
      <c r="G61" s="67">
        <f>3.6258 * CHOOSE(CONTROL!$C$23, $C$13, 100%, $E$13)</f>
        <v>3.6257999999999999</v>
      </c>
      <c r="H61" s="67">
        <f>6.4658* CHOOSE(CONTROL!$C$23, $C$13, 100%, $E$13)</f>
        <v>6.4657999999999998</v>
      </c>
      <c r="I61" s="67">
        <f>6.4725 * CHOOSE(CONTROL!$C$23, $C$13, 100%, $E$13)</f>
        <v>6.4725000000000001</v>
      </c>
      <c r="J61" s="67">
        <f>3.6191 * CHOOSE(CONTROL!$C$23, $C$13, 100%, $E$13)</f>
        <v>3.6191</v>
      </c>
      <c r="K61" s="67">
        <f>3.6258 * CHOOSE(CONTROL!$C$23, $C$13, 100%, $E$13)</f>
        <v>3.6257999999999999</v>
      </c>
      <c r="L61" s="4"/>
      <c r="M61" s="4"/>
      <c r="N61" s="4"/>
    </row>
    <row r="62" spans="1:14" ht="15">
      <c r="A62" s="13">
        <v>43009</v>
      </c>
      <c r="B62" s="66">
        <f>3.0423 * CHOOSE(CONTROL!$C$23, $C$13, 100%, $E$13)</f>
        <v>3.0423</v>
      </c>
      <c r="C62" s="66">
        <f>3.0423 * CHOOSE(CONTROL!$C$23, $C$13, 100%, $E$13)</f>
        <v>3.0423</v>
      </c>
      <c r="D62" s="66">
        <f>3.0462 * CHOOSE(CONTROL!$C$23, $C$13, 100%, $E$13)</f>
        <v>3.0461999999999998</v>
      </c>
      <c r="E62" s="67">
        <f>3.6178 * CHOOSE(CONTROL!$C$23, $C$13, 100%, $E$13)</f>
        <v>3.6177999999999999</v>
      </c>
      <c r="F62" s="67">
        <f>3.6178 * CHOOSE(CONTROL!$C$23, $C$13, 100%, $E$13)</f>
        <v>3.6177999999999999</v>
      </c>
      <c r="G62" s="67">
        <f>3.6225 * CHOOSE(CONTROL!$C$23, $C$13, 100%, $E$13)</f>
        <v>3.6225000000000001</v>
      </c>
      <c r="H62" s="67">
        <f>6.4793* CHOOSE(CONTROL!$C$23, $C$13, 100%, $E$13)</f>
        <v>6.4793000000000003</v>
      </c>
      <c r="I62" s="67">
        <f>6.484 * CHOOSE(CONTROL!$C$23, $C$13, 100%, $E$13)</f>
        <v>6.484</v>
      </c>
      <c r="J62" s="67">
        <f>3.6178 * CHOOSE(CONTROL!$C$23, $C$13, 100%, $E$13)</f>
        <v>3.6177999999999999</v>
      </c>
      <c r="K62" s="67">
        <f>3.6225 * CHOOSE(CONTROL!$C$23, $C$13, 100%, $E$13)</f>
        <v>3.6225000000000001</v>
      </c>
      <c r="L62" s="4"/>
      <c r="M62" s="4"/>
      <c r="N62" s="4"/>
    </row>
    <row r="63" spans="1:14" ht="15">
      <c r="A63" s="13">
        <v>43040</v>
      </c>
      <c r="B63" s="66">
        <f>3.0454 * CHOOSE(CONTROL!$C$23, $C$13, 100%, $E$13)</f>
        <v>3.0453999999999999</v>
      </c>
      <c r="C63" s="66">
        <f>3.0454 * CHOOSE(CONTROL!$C$23, $C$13, 100%, $E$13)</f>
        <v>3.0453999999999999</v>
      </c>
      <c r="D63" s="66">
        <f>3.0493 * CHOOSE(CONTROL!$C$23, $C$13, 100%, $E$13)</f>
        <v>3.0493000000000001</v>
      </c>
      <c r="E63" s="67">
        <f>3.6259 * CHOOSE(CONTROL!$C$23, $C$13, 100%, $E$13)</f>
        <v>3.6259000000000001</v>
      </c>
      <c r="F63" s="67">
        <f>3.6259 * CHOOSE(CONTROL!$C$23, $C$13, 100%, $E$13)</f>
        <v>3.6259000000000001</v>
      </c>
      <c r="G63" s="67">
        <f>3.6307 * CHOOSE(CONTROL!$C$23, $C$13, 100%, $E$13)</f>
        <v>3.6307</v>
      </c>
      <c r="H63" s="67">
        <f>6.4927* CHOOSE(CONTROL!$C$23, $C$13, 100%, $E$13)</f>
        <v>6.4927000000000001</v>
      </c>
      <c r="I63" s="67">
        <f>6.4975 * CHOOSE(CONTROL!$C$23, $C$13, 100%, $E$13)</f>
        <v>6.4974999999999996</v>
      </c>
      <c r="J63" s="67">
        <f>3.6259 * CHOOSE(CONTROL!$C$23, $C$13, 100%, $E$13)</f>
        <v>3.6259000000000001</v>
      </c>
      <c r="K63" s="67">
        <f>3.6307 * CHOOSE(CONTROL!$C$23, $C$13, 100%, $E$13)</f>
        <v>3.6307</v>
      </c>
      <c r="L63" s="4"/>
      <c r="M63" s="4"/>
      <c r="N63" s="4"/>
    </row>
    <row r="64" spans="1:14" ht="15">
      <c r="A64" s="13">
        <v>43070</v>
      </c>
      <c r="B64" s="66">
        <f>3.0454 * CHOOSE(CONTROL!$C$23, $C$13, 100%, $E$13)</f>
        <v>3.0453999999999999</v>
      </c>
      <c r="C64" s="66">
        <f>3.0454 * CHOOSE(CONTROL!$C$23, $C$13, 100%, $E$13)</f>
        <v>3.0453999999999999</v>
      </c>
      <c r="D64" s="66">
        <f>3.0493 * CHOOSE(CONTROL!$C$23, $C$13, 100%, $E$13)</f>
        <v>3.0493000000000001</v>
      </c>
      <c r="E64" s="67">
        <f>3.6108 * CHOOSE(CONTROL!$C$23, $C$13, 100%, $E$13)</f>
        <v>3.6107999999999998</v>
      </c>
      <c r="F64" s="67">
        <f>3.6108 * CHOOSE(CONTROL!$C$23, $C$13, 100%, $E$13)</f>
        <v>3.6107999999999998</v>
      </c>
      <c r="G64" s="67">
        <f>3.6156 * CHOOSE(CONTROL!$C$23, $C$13, 100%, $E$13)</f>
        <v>3.6156000000000001</v>
      </c>
      <c r="H64" s="67">
        <f>6.5063* CHOOSE(CONTROL!$C$23, $C$13, 100%, $E$13)</f>
        <v>6.5063000000000004</v>
      </c>
      <c r="I64" s="67">
        <f>6.511 * CHOOSE(CONTROL!$C$23, $C$13, 100%, $E$13)</f>
        <v>6.5110000000000001</v>
      </c>
      <c r="J64" s="67">
        <f>3.6108 * CHOOSE(CONTROL!$C$23, $C$13, 100%, $E$13)</f>
        <v>3.6107999999999998</v>
      </c>
      <c r="K64" s="67">
        <f>3.6156 * CHOOSE(CONTROL!$C$23, $C$13, 100%, $E$13)</f>
        <v>3.6156000000000001</v>
      </c>
      <c r="L64" s="4"/>
      <c r="M64" s="4"/>
      <c r="N64" s="4"/>
    </row>
    <row r="65" spans="1:14" ht="15">
      <c r="A65" s="13">
        <v>43101</v>
      </c>
      <c r="B65" s="66">
        <f>3.0799 * CHOOSE(CONTROL!$C$23, $C$13, 100%, $E$13)</f>
        <v>3.0798999999999999</v>
      </c>
      <c r="C65" s="66">
        <f>3.0799 * CHOOSE(CONTROL!$C$23, $C$13, 100%, $E$13)</f>
        <v>3.0798999999999999</v>
      </c>
      <c r="D65" s="66">
        <f>3.0838 * CHOOSE(CONTROL!$C$23, $C$13, 100%, $E$13)</f>
        <v>3.0838000000000001</v>
      </c>
      <c r="E65" s="67">
        <f>3.7211 * CHOOSE(CONTROL!$C$23, $C$13, 100%, $E$13)</f>
        <v>3.7210999999999999</v>
      </c>
      <c r="F65" s="67">
        <f>3.7211 * CHOOSE(CONTROL!$C$23, $C$13, 100%, $E$13)</f>
        <v>3.7210999999999999</v>
      </c>
      <c r="G65" s="67">
        <f>3.7259 * CHOOSE(CONTROL!$C$23, $C$13, 100%, $E$13)</f>
        <v>3.7259000000000002</v>
      </c>
      <c r="H65" s="67">
        <f>6.5198* CHOOSE(CONTROL!$C$23, $C$13, 100%, $E$13)</f>
        <v>6.5198</v>
      </c>
      <c r="I65" s="67">
        <f>6.5246 * CHOOSE(CONTROL!$C$23, $C$13, 100%, $E$13)</f>
        <v>6.5246000000000004</v>
      </c>
      <c r="J65" s="67">
        <f>3.7211 * CHOOSE(CONTROL!$C$23, $C$13, 100%, $E$13)</f>
        <v>3.7210999999999999</v>
      </c>
      <c r="K65" s="67">
        <f>3.7259 * CHOOSE(CONTROL!$C$23, $C$13, 100%, $E$13)</f>
        <v>3.7259000000000002</v>
      </c>
      <c r="L65" s="4"/>
      <c r="M65" s="4"/>
      <c r="N65" s="4"/>
    </row>
    <row r="66" spans="1:14" ht="15">
      <c r="A66" s="13">
        <v>43132</v>
      </c>
      <c r="B66" s="66">
        <f>3.0769 * CHOOSE(CONTROL!$C$23, $C$13, 100%, $E$13)</f>
        <v>3.0769000000000002</v>
      </c>
      <c r="C66" s="66">
        <f>3.0769 * CHOOSE(CONTROL!$C$23, $C$13, 100%, $E$13)</f>
        <v>3.0769000000000002</v>
      </c>
      <c r="D66" s="66">
        <f>3.0808 * CHOOSE(CONTROL!$C$23, $C$13, 100%, $E$13)</f>
        <v>3.0808</v>
      </c>
      <c r="E66" s="67">
        <f>3.6823 * CHOOSE(CONTROL!$C$23, $C$13, 100%, $E$13)</f>
        <v>3.6823000000000001</v>
      </c>
      <c r="F66" s="67">
        <f>3.6823 * CHOOSE(CONTROL!$C$23, $C$13, 100%, $E$13)</f>
        <v>3.6823000000000001</v>
      </c>
      <c r="G66" s="67">
        <f>3.687 * CHOOSE(CONTROL!$C$23, $C$13, 100%, $E$13)</f>
        <v>3.6869999999999998</v>
      </c>
      <c r="H66" s="67">
        <f>6.5334* CHOOSE(CONTROL!$C$23, $C$13, 100%, $E$13)</f>
        <v>6.5334000000000003</v>
      </c>
      <c r="I66" s="67">
        <f>6.5382 * CHOOSE(CONTROL!$C$23, $C$13, 100%, $E$13)</f>
        <v>6.5381999999999998</v>
      </c>
      <c r="J66" s="67">
        <f>3.6823 * CHOOSE(CONTROL!$C$23, $C$13, 100%, $E$13)</f>
        <v>3.6823000000000001</v>
      </c>
      <c r="K66" s="67">
        <f>3.687 * CHOOSE(CONTROL!$C$23, $C$13, 100%, $E$13)</f>
        <v>3.6869999999999998</v>
      </c>
      <c r="L66" s="4"/>
      <c r="M66" s="4"/>
      <c r="N66" s="4"/>
    </row>
    <row r="67" spans="1:14" ht="15">
      <c r="A67" s="13">
        <v>43160</v>
      </c>
      <c r="B67" s="66">
        <f>3.0739 * CHOOSE(CONTROL!$C$23, $C$13, 100%, $E$13)</f>
        <v>3.0739000000000001</v>
      </c>
      <c r="C67" s="66">
        <f>3.0739 * CHOOSE(CONTROL!$C$23, $C$13, 100%, $E$13)</f>
        <v>3.0739000000000001</v>
      </c>
      <c r="D67" s="66">
        <f>3.0777 * CHOOSE(CONTROL!$C$23, $C$13, 100%, $E$13)</f>
        <v>3.0777000000000001</v>
      </c>
      <c r="E67" s="67">
        <f>3.7091 * CHOOSE(CONTROL!$C$23, $C$13, 100%, $E$13)</f>
        <v>3.7090999999999998</v>
      </c>
      <c r="F67" s="67">
        <f>3.7091 * CHOOSE(CONTROL!$C$23, $C$13, 100%, $E$13)</f>
        <v>3.7090999999999998</v>
      </c>
      <c r="G67" s="67">
        <f>3.7139 * CHOOSE(CONTROL!$C$23, $C$13, 100%, $E$13)</f>
        <v>3.7139000000000002</v>
      </c>
      <c r="H67" s="67">
        <f>6.547* CHOOSE(CONTROL!$C$23, $C$13, 100%, $E$13)</f>
        <v>6.5469999999999997</v>
      </c>
      <c r="I67" s="67">
        <f>6.5518 * CHOOSE(CONTROL!$C$23, $C$13, 100%, $E$13)</f>
        <v>6.5518000000000001</v>
      </c>
      <c r="J67" s="67">
        <f>3.7091 * CHOOSE(CONTROL!$C$23, $C$13, 100%, $E$13)</f>
        <v>3.7090999999999998</v>
      </c>
      <c r="K67" s="67">
        <f>3.7139 * CHOOSE(CONTROL!$C$23, $C$13, 100%, $E$13)</f>
        <v>3.7139000000000002</v>
      </c>
      <c r="L67" s="4"/>
      <c r="M67" s="4"/>
      <c r="N67" s="4"/>
    </row>
    <row r="68" spans="1:14" ht="15">
      <c r="A68" s="13">
        <v>43191</v>
      </c>
      <c r="B68" s="66">
        <f>3.0705 * CHOOSE(CONTROL!$C$23, $C$13, 100%, $E$13)</f>
        <v>3.0705</v>
      </c>
      <c r="C68" s="66">
        <f>3.0705 * CHOOSE(CONTROL!$C$23, $C$13, 100%, $E$13)</f>
        <v>3.0705</v>
      </c>
      <c r="D68" s="66">
        <f>3.0744 * CHOOSE(CONTROL!$C$23, $C$13, 100%, $E$13)</f>
        <v>3.0743999999999998</v>
      </c>
      <c r="E68" s="67">
        <f>3.7359 * CHOOSE(CONTROL!$C$23, $C$13, 100%, $E$13)</f>
        <v>3.7359</v>
      </c>
      <c r="F68" s="67">
        <f>3.7359 * CHOOSE(CONTROL!$C$23, $C$13, 100%, $E$13)</f>
        <v>3.7359</v>
      </c>
      <c r="G68" s="67">
        <f>3.7407 * CHOOSE(CONTROL!$C$23, $C$13, 100%, $E$13)</f>
        <v>3.7406999999999999</v>
      </c>
      <c r="H68" s="67">
        <f>6.5607* CHOOSE(CONTROL!$C$23, $C$13, 100%, $E$13)</f>
        <v>6.5606999999999998</v>
      </c>
      <c r="I68" s="67">
        <f>6.5654 * CHOOSE(CONTROL!$C$23, $C$13, 100%, $E$13)</f>
        <v>6.5654000000000003</v>
      </c>
      <c r="J68" s="67">
        <f>3.7359 * CHOOSE(CONTROL!$C$23, $C$13, 100%, $E$13)</f>
        <v>3.7359</v>
      </c>
      <c r="K68" s="67">
        <f>3.7407 * CHOOSE(CONTROL!$C$23, $C$13, 100%, $E$13)</f>
        <v>3.7406999999999999</v>
      </c>
      <c r="L68" s="4"/>
      <c r="M68" s="4"/>
      <c r="N68" s="4"/>
    </row>
    <row r="69" spans="1:14" ht="15">
      <c r="A69" s="13">
        <v>43221</v>
      </c>
      <c r="B69" s="66">
        <f>3.0705 * CHOOSE(CONTROL!$C$23, $C$13, 100%, $E$13)</f>
        <v>3.0705</v>
      </c>
      <c r="C69" s="66">
        <f>3.0705 * CHOOSE(CONTROL!$C$23, $C$13, 100%, $E$13)</f>
        <v>3.0705</v>
      </c>
      <c r="D69" s="66">
        <f>3.076 * CHOOSE(CONTROL!$C$23, $C$13, 100%, $E$13)</f>
        <v>3.0760000000000001</v>
      </c>
      <c r="E69" s="67">
        <f>3.7476 * CHOOSE(CONTROL!$C$23, $C$13, 100%, $E$13)</f>
        <v>3.7475999999999998</v>
      </c>
      <c r="F69" s="67">
        <f>3.7476 * CHOOSE(CONTROL!$C$23, $C$13, 100%, $E$13)</f>
        <v>3.7475999999999998</v>
      </c>
      <c r="G69" s="67">
        <f>3.7543 * CHOOSE(CONTROL!$C$23, $C$13, 100%, $E$13)</f>
        <v>3.7543000000000002</v>
      </c>
      <c r="H69" s="67">
        <f>6.5743* CHOOSE(CONTROL!$C$23, $C$13, 100%, $E$13)</f>
        <v>6.5743</v>
      </c>
      <c r="I69" s="67">
        <f>6.5811 * CHOOSE(CONTROL!$C$23, $C$13, 100%, $E$13)</f>
        <v>6.5811000000000002</v>
      </c>
      <c r="J69" s="67">
        <f>3.7476 * CHOOSE(CONTROL!$C$23, $C$13, 100%, $E$13)</f>
        <v>3.7475999999999998</v>
      </c>
      <c r="K69" s="67">
        <f>3.7543 * CHOOSE(CONTROL!$C$23, $C$13, 100%, $E$13)</f>
        <v>3.7543000000000002</v>
      </c>
      <c r="L69" s="4"/>
      <c r="M69" s="4"/>
      <c r="N69" s="4"/>
    </row>
    <row r="70" spans="1:14" ht="15">
      <c r="A70" s="13">
        <v>43252</v>
      </c>
      <c r="B70" s="66">
        <f>3.0766 * CHOOSE(CONTROL!$C$23, $C$13, 100%, $E$13)</f>
        <v>3.0766</v>
      </c>
      <c r="C70" s="66">
        <f>3.0766 * CHOOSE(CONTROL!$C$23, $C$13, 100%, $E$13)</f>
        <v>3.0766</v>
      </c>
      <c r="D70" s="66">
        <f>3.0821 * CHOOSE(CONTROL!$C$23, $C$13, 100%, $E$13)</f>
        <v>3.0821000000000001</v>
      </c>
      <c r="E70" s="67">
        <f>3.7402 * CHOOSE(CONTROL!$C$23, $C$13, 100%, $E$13)</f>
        <v>3.7402000000000002</v>
      </c>
      <c r="F70" s="67">
        <f>3.7402 * CHOOSE(CONTROL!$C$23, $C$13, 100%, $E$13)</f>
        <v>3.7402000000000002</v>
      </c>
      <c r="G70" s="67">
        <f>3.7469 * CHOOSE(CONTROL!$C$23, $C$13, 100%, $E$13)</f>
        <v>3.7469000000000001</v>
      </c>
      <c r="H70" s="67">
        <f>6.588* CHOOSE(CONTROL!$C$23, $C$13, 100%, $E$13)</f>
        <v>6.5880000000000001</v>
      </c>
      <c r="I70" s="67">
        <f>6.5948 * CHOOSE(CONTROL!$C$23, $C$13, 100%, $E$13)</f>
        <v>6.5948000000000002</v>
      </c>
      <c r="J70" s="67">
        <f>3.7402 * CHOOSE(CONTROL!$C$23, $C$13, 100%, $E$13)</f>
        <v>3.7402000000000002</v>
      </c>
      <c r="K70" s="67">
        <f>3.7469 * CHOOSE(CONTROL!$C$23, $C$13, 100%, $E$13)</f>
        <v>3.7469000000000001</v>
      </c>
      <c r="L70" s="4"/>
      <c r="M70" s="4"/>
      <c r="N70" s="4"/>
    </row>
    <row r="71" spans="1:14" ht="15">
      <c r="A71" s="13">
        <v>43282</v>
      </c>
      <c r="B71" s="66">
        <f>3.1468 * CHOOSE(CONTROL!$C$23, $C$13, 100%, $E$13)</f>
        <v>3.1467999999999998</v>
      </c>
      <c r="C71" s="66">
        <f>3.1468 * CHOOSE(CONTROL!$C$23, $C$13, 100%, $E$13)</f>
        <v>3.1467999999999998</v>
      </c>
      <c r="D71" s="66">
        <f>3.1523 * CHOOSE(CONTROL!$C$23, $C$13, 100%, $E$13)</f>
        <v>3.1522999999999999</v>
      </c>
      <c r="E71" s="67">
        <f>3.7912 * CHOOSE(CONTROL!$C$23, $C$13, 100%, $E$13)</f>
        <v>3.7911999999999999</v>
      </c>
      <c r="F71" s="67">
        <f>3.7912 * CHOOSE(CONTROL!$C$23, $C$13, 100%, $E$13)</f>
        <v>3.7911999999999999</v>
      </c>
      <c r="G71" s="67">
        <f>3.798 * CHOOSE(CONTROL!$C$23, $C$13, 100%, $E$13)</f>
        <v>3.798</v>
      </c>
      <c r="H71" s="67">
        <f>6.6018* CHOOSE(CONTROL!$C$23, $C$13, 100%, $E$13)</f>
        <v>6.6017999999999999</v>
      </c>
      <c r="I71" s="67">
        <f>6.6085 * CHOOSE(CONTROL!$C$23, $C$13, 100%, $E$13)</f>
        <v>6.6085000000000003</v>
      </c>
      <c r="J71" s="67">
        <f>3.7912 * CHOOSE(CONTROL!$C$23, $C$13, 100%, $E$13)</f>
        <v>3.7911999999999999</v>
      </c>
      <c r="K71" s="67">
        <f>3.798 * CHOOSE(CONTROL!$C$23, $C$13, 100%, $E$13)</f>
        <v>3.798</v>
      </c>
      <c r="L71" s="4"/>
      <c r="M71" s="4"/>
      <c r="N71" s="4"/>
    </row>
    <row r="72" spans="1:14" ht="15">
      <c r="A72" s="13">
        <v>43313</v>
      </c>
      <c r="B72" s="66">
        <f>3.1535 * CHOOSE(CONTROL!$C$23, $C$13, 100%, $E$13)</f>
        <v>3.1535000000000002</v>
      </c>
      <c r="C72" s="66">
        <f>3.1535 * CHOOSE(CONTROL!$C$23, $C$13, 100%, $E$13)</f>
        <v>3.1535000000000002</v>
      </c>
      <c r="D72" s="66">
        <f>3.159 * CHOOSE(CONTROL!$C$23, $C$13, 100%, $E$13)</f>
        <v>3.1589999999999998</v>
      </c>
      <c r="E72" s="67">
        <f>3.7609 * CHOOSE(CONTROL!$C$23, $C$13, 100%, $E$13)</f>
        <v>3.7608999999999999</v>
      </c>
      <c r="F72" s="67">
        <f>3.7609 * CHOOSE(CONTROL!$C$23, $C$13, 100%, $E$13)</f>
        <v>3.7608999999999999</v>
      </c>
      <c r="G72" s="67">
        <f>3.7677 * CHOOSE(CONTROL!$C$23, $C$13, 100%, $E$13)</f>
        <v>3.7677</v>
      </c>
      <c r="H72" s="67">
        <f>6.6155* CHOOSE(CONTROL!$C$23, $C$13, 100%, $E$13)</f>
        <v>6.6154999999999999</v>
      </c>
      <c r="I72" s="67">
        <f>6.6222 * CHOOSE(CONTROL!$C$23, $C$13, 100%, $E$13)</f>
        <v>6.6222000000000003</v>
      </c>
      <c r="J72" s="67">
        <f>3.7609 * CHOOSE(CONTROL!$C$23, $C$13, 100%, $E$13)</f>
        <v>3.7608999999999999</v>
      </c>
      <c r="K72" s="67">
        <f>3.7677 * CHOOSE(CONTROL!$C$23, $C$13, 100%, $E$13)</f>
        <v>3.7677</v>
      </c>
      <c r="L72" s="4"/>
      <c r="M72" s="4"/>
      <c r="N72" s="4"/>
    </row>
    <row r="73" spans="1:14" ht="15">
      <c r="A73" s="13">
        <v>43344</v>
      </c>
      <c r="B73" s="66">
        <f>3.1505 * CHOOSE(CONTROL!$C$23, $C$13, 100%, $E$13)</f>
        <v>3.1505000000000001</v>
      </c>
      <c r="C73" s="66">
        <f>3.1505 * CHOOSE(CONTROL!$C$23, $C$13, 100%, $E$13)</f>
        <v>3.1505000000000001</v>
      </c>
      <c r="D73" s="66">
        <f>3.156 * CHOOSE(CONTROL!$C$23, $C$13, 100%, $E$13)</f>
        <v>3.1560000000000001</v>
      </c>
      <c r="E73" s="67">
        <f>3.7549 * CHOOSE(CONTROL!$C$23, $C$13, 100%, $E$13)</f>
        <v>3.7549000000000001</v>
      </c>
      <c r="F73" s="67">
        <f>3.7549 * CHOOSE(CONTROL!$C$23, $C$13, 100%, $E$13)</f>
        <v>3.7549000000000001</v>
      </c>
      <c r="G73" s="67">
        <f>3.7617 * CHOOSE(CONTROL!$C$23, $C$13, 100%, $E$13)</f>
        <v>3.7616999999999998</v>
      </c>
      <c r="H73" s="67">
        <f>6.6293* CHOOSE(CONTROL!$C$23, $C$13, 100%, $E$13)</f>
        <v>6.6292999999999997</v>
      </c>
      <c r="I73" s="67">
        <f>6.636 * CHOOSE(CONTROL!$C$23, $C$13, 100%, $E$13)</f>
        <v>6.6360000000000001</v>
      </c>
      <c r="J73" s="67">
        <f>3.7549 * CHOOSE(CONTROL!$C$23, $C$13, 100%, $E$13)</f>
        <v>3.7549000000000001</v>
      </c>
      <c r="K73" s="67">
        <f>3.7617 * CHOOSE(CONTROL!$C$23, $C$13, 100%, $E$13)</f>
        <v>3.7616999999999998</v>
      </c>
      <c r="L73" s="4"/>
      <c r="M73" s="4"/>
      <c r="N73" s="4"/>
    </row>
    <row r="74" spans="1:14" ht="15">
      <c r="A74" s="13">
        <v>43374</v>
      </c>
      <c r="B74" s="66">
        <f>3.1419 * CHOOSE(CONTROL!$C$23, $C$13, 100%, $E$13)</f>
        <v>3.1419000000000001</v>
      </c>
      <c r="C74" s="66">
        <f>3.1419 * CHOOSE(CONTROL!$C$23, $C$13, 100%, $E$13)</f>
        <v>3.1419000000000001</v>
      </c>
      <c r="D74" s="66">
        <f>3.1457 * CHOOSE(CONTROL!$C$23, $C$13, 100%, $E$13)</f>
        <v>3.1457000000000002</v>
      </c>
      <c r="E74" s="67">
        <f>3.7571 * CHOOSE(CONTROL!$C$23, $C$13, 100%, $E$13)</f>
        <v>3.7570999999999999</v>
      </c>
      <c r="F74" s="67">
        <f>3.7571 * CHOOSE(CONTROL!$C$23, $C$13, 100%, $E$13)</f>
        <v>3.7570999999999999</v>
      </c>
      <c r="G74" s="67">
        <f>3.7618 * CHOOSE(CONTROL!$C$23, $C$13, 100%, $E$13)</f>
        <v>3.7618</v>
      </c>
      <c r="H74" s="67">
        <f>6.6431* CHOOSE(CONTROL!$C$23, $C$13, 100%, $E$13)</f>
        <v>6.6430999999999996</v>
      </c>
      <c r="I74" s="67">
        <f>6.6479 * CHOOSE(CONTROL!$C$23, $C$13, 100%, $E$13)</f>
        <v>6.6478999999999999</v>
      </c>
      <c r="J74" s="67">
        <f>3.7571 * CHOOSE(CONTROL!$C$23, $C$13, 100%, $E$13)</f>
        <v>3.7570999999999999</v>
      </c>
      <c r="K74" s="67">
        <f>3.7618 * CHOOSE(CONTROL!$C$23, $C$13, 100%, $E$13)</f>
        <v>3.7618</v>
      </c>
      <c r="L74" s="4"/>
      <c r="M74" s="4"/>
      <c r="N74" s="4"/>
    </row>
    <row r="75" spans="1:14" ht="15">
      <c r="A75" s="13">
        <v>43405</v>
      </c>
      <c r="B75" s="66">
        <f>3.1449 * CHOOSE(CONTROL!$C$23, $C$13, 100%, $E$13)</f>
        <v>3.1448999999999998</v>
      </c>
      <c r="C75" s="66">
        <f>3.1449 * CHOOSE(CONTROL!$C$23, $C$13, 100%, $E$13)</f>
        <v>3.1448999999999998</v>
      </c>
      <c r="D75" s="66">
        <f>3.1488 * CHOOSE(CONTROL!$C$23, $C$13, 100%, $E$13)</f>
        <v>3.1488</v>
      </c>
      <c r="E75" s="67">
        <f>3.767 * CHOOSE(CONTROL!$C$23, $C$13, 100%, $E$13)</f>
        <v>3.7669999999999999</v>
      </c>
      <c r="F75" s="67">
        <f>3.767 * CHOOSE(CONTROL!$C$23, $C$13, 100%, $E$13)</f>
        <v>3.7669999999999999</v>
      </c>
      <c r="G75" s="67">
        <f>3.7717 * CHOOSE(CONTROL!$C$23, $C$13, 100%, $E$13)</f>
        <v>3.7717000000000001</v>
      </c>
      <c r="H75" s="67">
        <f>6.6569* CHOOSE(CONTROL!$C$23, $C$13, 100%, $E$13)</f>
        <v>6.6569000000000003</v>
      </c>
      <c r="I75" s="67">
        <f>6.6617 * CHOOSE(CONTROL!$C$23, $C$13, 100%, $E$13)</f>
        <v>6.6616999999999997</v>
      </c>
      <c r="J75" s="67">
        <f>3.767 * CHOOSE(CONTROL!$C$23, $C$13, 100%, $E$13)</f>
        <v>3.7669999999999999</v>
      </c>
      <c r="K75" s="67">
        <f>3.7717 * CHOOSE(CONTROL!$C$23, $C$13, 100%, $E$13)</f>
        <v>3.7717000000000001</v>
      </c>
      <c r="L75" s="4"/>
      <c r="M75" s="4"/>
      <c r="N75" s="4"/>
    </row>
    <row r="76" spans="1:14" ht="15">
      <c r="A76" s="13">
        <v>43435</v>
      </c>
      <c r="B76" s="66">
        <f>3.1449 * CHOOSE(CONTROL!$C$23, $C$13, 100%, $E$13)</f>
        <v>3.1448999999999998</v>
      </c>
      <c r="C76" s="66">
        <f>3.1449 * CHOOSE(CONTROL!$C$23, $C$13, 100%, $E$13)</f>
        <v>3.1448999999999998</v>
      </c>
      <c r="D76" s="66">
        <f>3.1488 * CHOOSE(CONTROL!$C$23, $C$13, 100%, $E$13)</f>
        <v>3.1488</v>
      </c>
      <c r="E76" s="67">
        <f>3.7475 * CHOOSE(CONTROL!$C$23, $C$13, 100%, $E$13)</f>
        <v>3.7475000000000001</v>
      </c>
      <c r="F76" s="67">
        <f>3.7475 * CHOOSE(CONTROL!$C$23, $C$13, 100%, $E$13)</f>
        <v>3.7475000000000001</v>
      </c>
      <c r="G76" s="67">
        <f>3.7523 * CHOOSE(CONTROL!$C$23, $C$13, 100%, $E$13)</f>
        <v>3.7523</v>
      </c>
      <c r="H76" s="67">
        <f>6.6708* CHOOSE(CONTROL!$C$23, $C$13, 100%, $E$13)</f>
        <v>6.6707999999999998</v>
      </c>
      <c r="I76" s="67">
        <f>6.6756 * CHOOSE(CONTROL!$C$23, $C$13, 100%, $E$13)</f>
        <v>6.6756000000000002</v>
      </c>
      <c r="J76" s="67">
        <f>3.7475 * CHOOSE(CONTROL!$C$23, $C$13, 100%, $E$13)</f>
        <v>3.7475000000000001</v>
      </c>
      <c r="K76" s="67">
        <f>3.7523 * CHOOSE(CONTROL!$C$23, $C$13, 100%, $E$13)</f>
        <v>3.7523</v>
      </c>
      <c r="L76" s="4"/>
      <c r="M76" s="4"/>
      <c r="N76" s="4"/>
    </row>
    <row r="77" spans="1:14" ht="15">
      <c r="A77" s="13">
        <v>43466</v>
      </c>
      <c r="B77" s="66">
        <f>3.1467 * CHOOSE(CONTROL!$C$23, $C$13, 100%, $E$13)</f>
        <v>3.1467000000000001</v>
      </c>
      <c r="C77" s="66">
        <f>3.1467 * CHOOSE(CONTROL!$C$23, $C$13, 100%, $E$13)</f>
        <v>3.1467000000000001</v>
      </c>
      <c r="D77" s="66">
        <f>3.1506 * CHOOSE(CONTROL!$C$23, $C$13, 100%, $E$13)</f>
        <v>3.1505999999999998</v>
      </c>
      <c r="E77" s="67">
        <f>3.844 * CHOOSE(CONTROL!$C$23, $C$13, 100%, $E$13)</f>
        <v>3.8439999999999999</v>
      </c>
      <c r="F77" s="67">
        <f>3.844 * CHOOSE(CONTROL!$C$23, $C$13, 100%, $E$13)</f>
        <v>3.8439999999999999</v>
      </c>
      <c r="G77" s="67">
        <f>3.8488 * CHOOSE(CONTROL!$C$23, $C$13, 100%, $E$13)</f>
        <v>3.8488000000000002</v>
      </c>
      <c r="H77" s="67">
        <f>6.6847* CHOOSE(CONTROL!$C$23, $C$13, 100%, $E$13)</f>
        <v>6.6847000000000003</v>
      </c>
      <c r="I77" s="67">
        <f>6.6895 * CHOOSE(CONTROL!$C$23, $C$13, 100%, $E$13)</f>
        <v>6.6894999999999998</v>
      </c>
      <c r="J77" s="67">
        <f>3.844 * CHOOSE(CONTROL!$C$23, $C$13, 100%, $E$13)</f>
        <v>3.8439999999999999</v>
      </c>
      <c r="K77" s="67">
        <f>3.8488 * CHOOSE(CONTROL!$C$23, $C$13, 100%, $E$13)</f>
        <v>3.8488000000000002</v>
      </c>
      <c r="L77" s="4"/>
      <c r="M77" s="4"/>
      <c r="N77" s="4"/>
    </row>
    <row r="78" spans="1:14" ht="15">
      <c r="A78" s="13">
        <v>43497</v>
      </c>
      <c r="B78" s="66">
        <f>3.1437 * CHOOSE(CONTROL!$C$23, $C$13, 100%, $E$13)</f>
        <v>3.1436999999999999</v>
      </c>
      <c r="C78" s="66">
        <f>3.1437 * CHOOSE(CONTROL!$C$23, $C$13, 100%, $E$13)</f>
        <v>3.1436999999999999</v>
      </c>
      <c r="D78" s="66">
        <f>3.1476 * CHOOSE(CONTROL!$C$23, $C$13, 100%, $E$13)</f>
        <v>3.1476000000000002</v>
      </c>
      <c r="E78" s="67">
        <f>3.7978 * CHOOSE(CONTROL!$C$23, $C$13, 100%, $E$13)</f>
        <v>3.7978000000000001</v>
      </c>
      <c r="F78" s="67">
        <f>3.7978 * CHOOSE(CONTROL!$C$23, $C$13, 100%, $E$13)</f>
        <v>3.7978000000000001</v>
      </c>
      <c r="G78" s="67">
        <f>3.8025 * CHOOSE(CONTROL!$C$23, $C$13, 100%, $E$13)</f>
        <v>3.8025000000000002</v>
      </c>
      <c r="H78" s="67">
        <f>6.6986* CHOOSE(CONTROL!$C$23, $C$13, 100%, $E$13)</f>
        <v>6.6985999999999999</v>
      </c>
      <c r="I78" s="67">
        <f>6.7034 * CHOOSE(CONTROL!$C$23, $C$13, 100%, $E$13)</f>
        <v>6.7034000000000002</v>
      </c>
      <c r="J78" s="67">
        <f>3.7978 * CHOOSE(CONTROL!$C$23, $C$13, 100%, $E$13)</f>
        <v>3.7978000000000001</v>
      </c>
      <c r="K78" s="67">
        <f>3.8025 * CHOOSE(CONTROL!$C$23, $C$13, 100%, $E$13)</f>
        <v>3.8025000000000002</v>
      </c>
      <c r="L78" s="4"/>
      <c r="M78" s="4"/>
      <c r="N78" s="4"/>
    </row>
    <row r="79" spans="1:14" ht="15">
      <c r="A79" s="13">
        <v>43525</v>
      </c>
      <c r="B79" s="66">
        <f>3.1407 * CHOOSE(CONTROL!$C$23, $C$13, 100%, $E$13)</f>
        <v>3.1406999999999998</v>
      </c>
      <c r="C79" s="66">
        <f>3.1407 * CHOOSE(CONTROL!$C$23, $C$13, 100%, $E$13)</f>
        <v>3.1406999999999998</v>
      </c>
      <c r="D79" s="66">
        <f>3.1445 * CHOOSE(CONTROL!$C$23, $C$13, 100%, $E$13)</f>
        <v>3.1444999999999999</v>
      </c>
      <c r="E79" s="67">
        <f>3.8304 * CHOOSE(CONTROL!$C$23, $C$13, 100%, $E$13)</f>
        <v>3.8304</v>
      </c>
      <c r="F79" s="67">
        <f>3.8304 * CHOOSE(CONTROL!$C$23, $C$13, 100%, $E$13)</f>
        <v>3.8304</v>
      </c>
      <c r="G79" s="67">
        <f>3.8352 * CHOOSE(CONTROL!$C$23, $C$13, 100%, $E$13)</f>
        <v>3.8351999999999999</v>
      </c>
      <c r="H79" s="67">
        <f>6.7126* CHOOSE(CONTROL!$C$23, $C$13, 100%, $E$13)</f>
        <v>6.7126000000000001</v>
      </c>
      <c r="I79" s="67">
        <f>6.7174 * CHOOSE(CONTROL!$C$23, $C$13, 100%, $E$13)</f>
        <v>6.7173999999999996</v>
      </c>
      <c r="J79" s="67">
        <f>3.8304 * CHOOSE(CONTROL!$C$23, $C$13, 100%, $E$13)</f>
        <v>3.8304</v>
      </c>
      <c r="K79" s="67">
        <f>3.8352 * CHOOSE(CONTROL!$C$23, $C$13, 100%, $E$13)</f>
        <v>3.8351999999999999</v>
      </c>
      <c r="L79" s="4"/>
      <c r="M79" s="4"/>
      <c r="N79" s="4"/>
    </row>
    <row r="80" spans="1:14" ht="15">
      <c r="A80" s="13">
        <v>43556</v>
      </c>
      <c r="B80" s="66">
        <f>3.1374 * CHOOSE(CONTROL!$C$23, $C$13, 100%, $E$13)</f>
        <v>3.1374</v>
      </c>
      <c r="C80" s="66">
        <f>3.1374 * CHOOSE(CONTROL!$C$23, $C$13, 100%, $E$13)</f>
        <v>3.1374</v>
      </c>
      <c r="D80" s="66">
        <f>3.1412 * CHOOSE(CONTROL!$C$23, $C$13, 100%, $E$13)</f>
        <v>3.1412</v>
      </c>
      <c r="E80" s="67">
        <f>3.8635 * CHOOSE(CONTROL!$C$23, $C$13, 100%, $E$13)</f>
        <v>3.8635000000000002</v>
      </c>
      <c r="F80" s="67">
        <f>3.8635 * CHOOSE(CONTROL!$C$23, $C$13, 100%, $E$13)</f>
        <v>3.8635000000000002</v>
      </c>
      <c r="G80" s="67">
        <f>3.8683 * CHOOSE(CONTROL!$C$23, $C$13, 100%, $E$13)</f>
        <v>3.8683000000000001</v>
      </c>
      <c r="H80" s="67">
        <f>6.7266* CHOOSE(CONTROL!$C$23, $C$13, 100%, $E$13)</f>
        <v>6.7266000000000004</v>
      </c>
      <c r="I80" s="67">
        <f>6.7313 * CHOOSE(CONTROL!$C$23, $C$13, 100%, $E$13)</f>
        <v>6.7313000000000001</v>
      </c>
      <c r="J80" s="67">
        <f>3.8635 * CHOOSE(CONTROL!$C$23, $C$13, 100%, $E$13)</f>
        <v>3.8635000000000002</v>
      </c>
      <c r="K80" s="67">
        <f>3.8683 * CHOOSE(CONTROL!$C$23, $C$13, 100%, $E$13)</f>
        <v>3.8683000000000001</v>
      </c>
      <c r="L80" s="4"/>
      <c r="M80" s="4"/>
      <c r="N80" s="4"/>
    </row>
    <row r="81" spans="1:14" ht="15">
      <c r="A81" s="13">
        <v>43586</v>
      </c>
      <c r="B81" s="66">
        <f>3.1374 * CHOOSE(CONTROL!$C$23, $C$13, 100%, $E$13)</f>
        <v>3.1374</v>
      </c>
      <c r="C81" s="66">
        <f>3.1374 * CHOOSE(CONTROL!$C$23, $C$13, 100%, $E$13)</f>
        <v>3.1374</v>
      </c>
      <c r="D81" s="66">
        <f>3.1429 * CHOOSE(CONTROL!$C$23, $C$13, 100%, $E$13)</f>
        <v>3.1429</v>
      </c>
      <c r="E81" s="67">
        <f>3.8775 * CHOOSE(CONTROL!$C$23, $C$13, 100%, $E$13)</f>
        <v>3.8774999999999999</v>
      </c>
      <c r="F81" s="67">
        <f>3.8775 * CHOOSE(CONTROL!$C$23, $C$13, 100%, $E$13)</f>
        <v>3.8774999999999999</v>
      </c>
      <c r="G81" s="67">
        <f>3.8843 * CHOOSE(CONTROL!$C$23, $C$13, 100%, $E$13)</f>
        <v>3.8843000000000001</v>
      </c>
      <c r="H81" s="67">
        <f>6.7406* CHOOSE(CONTROL!$C$23, $C$13, 100%, $E$13)</f>
        <v>6.7405999999999997</v>
      </c>
      <c r="I81" s="67">
        <f>6.7473 * CHOOSE(CONTROL!$C$23, $C$13, 100%, $E$13)</f>
        <v>6.7473000000000001</v>
      </c>
      <c r="J81" s="67">
        <f>3.8775 * CHOOSE(CONTROL!$C$23, $C$13, 100%, $E$13)</f>
        <v>3.8774999999999999</v>
      </c>
      <c r="K81" s="67">
        <f>3.8843 * CHOOSE(CONTROL!$C$23, $C$13, 100%, $E$13)</f>
        <v>3.8843000000000001</v>
      </c>
      <c r="L81" s="4"/>
      <c r="M81" s="4"/>
      <c r="N81" s="4"/>
    </row>
    <row r="82" spans="1:14" ht="15">
      <c r="A82" s="13">
        <v>43617</v>
      </c>
      <c r="B82" s="66">
        <f>3.1435 * CHOOSE(CONTROL!$C$23, $C$13, 100%, $E$13)</f>
        <v>3.1435</v>
      </c>
      <c r="C82" s="66">
        <f>3.1435 * CHOOSE(CONTROL!$C$23, $C$13, 100%, $E$13)</f>
        <v>3.1435</v>
      </c>
      <c r="D82" s="66">
        <f>3.149 * CHOOSE(CONTROL!$C$23, $C$13, 100%, $E$13)</f>
        <v>3.149</v>
      </c>
      <c r="E82" s="67">
        <f>3.8678 * CHOOSE(CONTROL!$C$23, $C$13, 100%, $E$13)</f>
        <v>3.8677999999999999</v>
      </c>
      <c r="F82" s="67">
        <f>3.8678 * CHOOSE(CONTROL!$C$23, $C$13, 100%, $E$13)</f>
        <v>3.8677999999999999</v>
      </c>
      <c r="G82" s="67">
        <f>3.8745 * CHOOSE(CONTROL!$C$23, $C$13, 100%, $E$13)</f>
        <v>3.8744999999999998</v>
      </c>
      <c r="H82" s="67">
        <f>6.7546* CHOOSE(CONTROL!$C$23, $C$13, 100%, $E$13)</f>
        <v>6.7545999999999999</v>
      </c>
      <c r="I82" s="67">
        <f>6.7614 * CHOOSE(CONTROL!$C$23, $C$13, 100%, $E$13)</f>
        <v>6.7614000000000001</v>
      </c>
      <c r="J82" s="67">
        <f>3.8678 * CHOOSE(CONTROL!$C$23, $C$13, 100%, $E$13)</f>
        <v>3.8677999999999999</v>
      </c>
      <c r="K82" s="67">
        <f>3.8745 * CHOOSE(CONTROL!$C$23, $C$13, 100%, $E$13)</f>
        <v>3.8744999999999998</v>
      </c>
      <c r="L82" s="4"/>
      <c r="M82" s="4"/>
      <c r="N82" s="4"/>
    </row>
    <row r="83" spans="1:14" ht="15">
      <c r="A83" s="13">
        <v>43647</v>
      </c>
      <c r="B83" s="66">
        <f>3.1331 * CHOOSE(CONTROL!$C$23, $C$13, 100%, $E$13)</f>
        <v>3.1331000000000002</v>
      </c>
      <c r="C83" s="66">
        <f>3.1331 * CHOOSE(CONTROL!$C$23, $C$13, 100%, $E$13)</f>
        <v>3.1331000000000002</v>
      </c>
      <c r="D83" s="66">
        <f>3.1386 * CHOOSE(CONTROL!$C$23, $C$13, 100%, $E$13)</f>
        <v>3.1385999999999998</v>
      </c>
      <c r="E83" s="67">
        <f>3.901 * CHOOSE(CONTROL!$C$23, $C$13, 100%, $E$13)</f>
        <v>3.9009999999999998</v>
      </c>
      <c r="F83" s="67">
        <f>3.901 * CHOOSE(CONTROL!$C$23, $C$13, 100%, $E$13)</f>
        <v>3.9009999999999998</v>
      </c>
      <c r="G83" s="67">
        <f>3.9078 * CHOOSE(CONTROL!$C$23, $C$13, 100%, $E$13)</f>
        <v>3.9077999999999999</v>
      </c>
      <c r="H83" s="67">
        <f>6.7687* CHOOSE(CONTROL!$C$23, $C$13, 100%, $E$13)</f>
        <v>6.7686999999999999</v>
      </c>
      <c r="I83" s="67">
        <f>6.7754 * CHOOSE(CONTROL!$C$23, $C$13, 100%, $E$13)</f>
        <v>6.7754000000000003</v>
      </c>
      <c r="J83" s="67">
        <f>3.901 * CHOOSE(CONTROL!$C$23, $C$13, 100%, $E$13)</f>
        <v>3.9009999999999998</v>
      </c>
      <c r="K83" s="67">
        <f>3.9078 * CHOOSE(CONTROL!$C$23, $C$13, 100%, $E$13)</f>
        <v>3.9077999999999999</v>
      </c>
      <c r="L83" s="4"/>
      <c r="M83" s="4"/>
      <c r="N83" s="4"/>
    </row>
    <row r="84" spans="1:14" ht="15">
      <c r="A84" s="13">
        <v>43678</v>
      </c>
      <c r="B84" s="66">
        <f>3.1398 * CHOOSE(CONTROL!$C$23, $C$13, 100%, $E$13)</f>
        <v>3.1398000000000001</v>
      </c>
      <c r="C84" s="66">
        <f>3.1398 * CHOOSE(CONTROL!$C$23, $C$13, 100%, $E$13)</f>
        <v>3.1398000000000001</v>
      </c>
      <c r="D84" s="66">
        <f>3.1453 * CHOOSE(CONTROL!$C$23, $C$13, 100%, $E$13)</f>
        <v>3.1453000000000002</v>
      </c>
      <c r="E84" s="67">
        <f>3.8637 * CHOOSE(CONTROL!$C$23, $C$13, 100%, $E$13)</f>
        <v>3.8637000000000001</v>
      </c>
      <c r="F84" s="67">
        <f>3.8637 * CHOOSE(CONTROL!$C$23, $C$13, 100%, $E$13)</f>
        <v>3.8637000000000001</v>
      </c>
      <c r="G84" s="67">
        <f>3.8704 * CHOOSE(CONTROL!$C$23, $C$13, 100%, $E$13)</f>
        <v>3.8704000000000001</v>
      </c>
      <c r="H84" s="67">
        <f>6.7828* CHOOSE(CONTROL!$C$23, $C$13, 100%, $E$13)</f>
        <v>6.7827999999999999</v>
      </c>
      <c r="I84" s="67">
        <f>6.7895 * CHOOSE(CONTROL!$C$23, $C$13, 100%, $E$13)</f>
        <v>6.7895000000000003</v>
      </c>
      <c r="J84" s="67">
        <f>3.8637 * CHOOSE(CONTROL!$C$23, $C$13, 100%, $E$13)</f>
        <v>3.8637000000000001</v>
      </c>
      <c r="K84" s="67">
        <f>3.8704 * CHOOSE(CONTROL!$C$23, $C$13, 100%, $E$13)</f>
        <v>3.8704000000000001</v>
      </c>
      <c r="L84" s="4"/>
      <c r="M84" s="4"/>
      <c r="N84" s="4"/>
    </row>
    <row r="85" spans="1:14" ht="15">
      <c r="A85" s="13">
        <v>43709</v>
      </c>
      <c r="B85" s="66">
        <f>3.1367 * CHOOSE(CONTROL!$C$23, $C$13, 100%, $E$13)</f>
        <v>3.1366999999999998</v>
      </c>
      <c r="C85" s="66">
        <f>3.1367 * CHOOSE(CONTROL!$C$23, $C$13, 100%, $E$13)</f>
        <v>3.1366999999999998</v>
      </c>
      <c r="D85" s="66">
        <f>3.1422 * CHOOSE(CONTROL!$C$23, $C$13, 100%, $E$13)</f>
        <v>3.1421999999999999</v>
      </c>
      <c r="E85" s="67">
        <f>3.8569 * CHOOSE(CONTROL!$C$23, $C$13, 100%, $E$13)</f>
        <v>3.8569</v>
      </c>
      <c r="F85" s="67">
        <f>3.8569 * CHOOSE(CONTROL!$C$23, $C$13, 100%, $E$13)</f>
        <v>3.8569</v>
      </c>
      <c r="G85" s="67">
        <f>3.8636 * CHOOSE(CONTROL!$C$23, $C$13, 100%, $E$13)</f>
        <v>3.8635999999999999</v>
      </c>
      <c r="H85" s="67">
        <f>6.7969* CHOOSE(CONTROL!$C$23, $C$13, 100%, $E$13)</f>
        <v>6.7968999999999999</v>
      </c>
      <c r="I85" s="67">
        <f>6.8037 * CHOOSE(CONTROL!$C$23, $C$13, 100%, $E$13)</f>
        <v>6.8037000000000001</v>
      </c>
      <c r="J85" s="67">
        <f>3.8569 * CHOOSE(CONTROL!$C$23, $C$13, 100%, $E$13)</f>
        <v>3.8569</v>
      </c>
      <c r="K85" s="67">
        <f>3.8636 * CHOOSE(CONTROL!$C$23, $C$13, 100%, $E$13)</f>
        <v>3.8635999999999999</v>
      </c>
      <c r="L85" s="4"/>
      <c r="M85" s="4"/>
      <c r="N85" s="4"/>
    </row>
    <row r="86" spans="1:14" ht="15">
      <c r="A86" s="13">
        <v>43739</v>
      </c>
      <c r="B86" s="66">
        <f>3.1284 * CHOOSE(CONTROL!$C$23, $C$13, 100%, $E$13)</f>
        <v>3.1284000000000001</v>
      </c>
      <c r="C86" s="66">
        <f>3.1284 * CHOOSE(CONTROL!$C$23, $C$13, 100%, $E$13)</f>
        <v>3.1284000000000001</v>
      </c>
      <c r="D86" s="66">
        <f>3.1323 * CHOOSE(CONTROL!$C$23, $C$13, 100%, $E$13)</f>
        <v>3.1322999999999999</v>
      </c>
      <c r="E86" s="67">
        <f>3.8621 * CHOOSE(CONTROL!$C$23, $C$13, 100%, $E$13)</f>
        <v>3.8620999999999999</v>
      </c>
      <c r="F86" s="67">
        <f>3.8621 * CHOOSE(CONTROL!$C$23, $C$13, 100%, $E$13)</f>
        <v>3.8620999999999999</v>
      </c>
      <c r="G86" s="67">
        <f>3.8669 * CHOOSE(CONTROL!$C$23, $C$13, 100%, $E$13)</f>
        <v>3.8668999999999998</v>
      </c>
      <c r="H86" s="67">
        <f>6.8111* CHOOSE(CONTROL!$C$23, $C$13, 100%, $E$13)</f>
        <v>6.8110999999999997</v>
      </c>
      <c r="I86" s="67">
        <f>6.8159 * CHOOSE(CONTROL!$C$23, $C$13, 100%, $E$13)</f>
        <v>6.8159000000000001</v>
      </c>
      <c r="J86" s="67">
        <f>3.8621 * CHOOSE(CONTROL!$C$23, $C$13, 100%, $E$13)</f>
        <v>3.8620999999999999</v>
      </c>
      <c r="K86" s="67">
        <f>3.8669 * CHOOSE(CONTROL!$C$23, $C$13, 100%, $E$13)</f>
        <v>3.8668999999999998</v>
      </c>
      <c r="L86" s="4"/>
      <c r="M86" s="4"/>
      <c r="N86" s="4"/>
    </row>
    <row r="87" spans="1:14" ht="15">
      <c r="A87" s="13">
        <v>43770</v>
      </c>
      <c r="B87" s="66">
        <f>3.1314 * CHOOSE(CONTROL!$C$23, $C$13, 100%, $E$13)</f>
        <v>3.1314000000000002</v>
      </c>
      <c r="C87" s="66">
        <f>3.1314 * CHOOSE(CONTROL!$C$23, $C$13, 100%, $E$13)</f>
        <v>3.1314000000000002</v>
      </c>
      <c r="D87" s="66">
        <f>3.1353 * CHOOSE(CONTROL!$C$23, $C$13, 100%, $E$13)</f>
        <v>3.1353</v>
      </c>
      <c r="E87" s="67">
        <f>3.8736 * CHOOSE(CONTROL!$C$23, $C$13, 100%, $E$13)</f>
        <v>3.8736000000000002</v>
      </c>
      <c r="F87" s="67">
        <f>3.8736 * CHOOSE(CONTROL!$C$23, $C$13, 100%, $E$13)</f>
        <v>3.8736000000000002</v>
      </c>
      <c r="G87" s="67">
        <f>3.8784 * CHOOSE(CONTROL!$C$23, $C$13, 100%, $E$13)</f>
        <v>3.8784000000000001</v>
      </c>
      <c r="H87" s="67">
        <f>6.8253* CHOOSE(CONTROL!$C$23, $C$13, 100%, $E$13)</f>
        <v>6.8253000000000004</v>
      </c>
      <c r="I87" s="67">
        <f>6.8301 * CHOOSE(CONTROL!$C$23, $C$13, 100%, $E$13)</f>
        <v>6.8300999999999998</v>
      </c>
      <c r="J87" s="67">
        <f>3.8736 * CHOOSE(CONTROL!$C$23, $C$13, 100%, $E$13)</f>
        <v>3.8736000000000002</v>
      </c>
      <c r="K87" s="67">
        <f>3.8784 * CHOOSE(CONTROL!$C$23, $C$13, 100%, $E$13)</f>
        <v>3.8784000000000001</v>
      </c>
      <c r="L87" s="4"/>
      <c r="M87" s="4"/>
      <c r="N87" s="4"/>
    </row>
    <row r="88" spans="1:14" ht="15">
      <c r="A88" s="13">
        <v>43800</v>
      </c>
      <c r="B88" s="66">
        <f>3.1314 * CHOOSE(CONTROL!$C$23, $C$13, 100%, $E$13)</f>
        <v>3.1314000000000002</v>
      </c>
      <c r="C88" s="66">
        <f>3.1314 * CHOOSE(CONTROL!$C$23, $C$13, 100%, $E$13)</f>
        <v>3.1314000000000002</v>
      </c>
      <c r="D88" s="66">
        <f>3.1353 * CHOOSE(CONTROL!$C$23, $C$13, 100%, $E$13)</f>
        <v>3.1353</v>
      </c>
      <c r="E88" s="67">
        <f>3.8503 * CHOOSE(CONTROL!$C$23, $C$13, 100%, $E$13)</f>
        <v>3.8502999999999998</v>
      </c>
      <c r="F88" s="67">
        <f>3.8503 * CHOOSE(CONTROL!$C$23, $C$13, 100%, $E$13)</f>
        <v>3.8502999999999998</v>
      </c>
      <c r="G88" s="67">
        <f>3.855 * CHOOSE(CONTROL!$C$23, $C$13, 100%, $E$13)</f>
        <v>3.855</v>
      </c>
      <c r="H88" s="67">
        <f>6.8395* CHOOSE(CONTROL!$C$23, $C$13, 100%, $E$13)</f>
        <v>6.8395000000000001</v>
      </c>
      <c r="I88" s="67">
        <f>6.8443 * CHOOSE(CONTROL!$C$23, $C$13, 100%, $E$13)</f>
        <v>6.8442999999999996</v>
      </c>
      <c r="J88" s="67">
        <f>3.8503 * CHOOSE(CONTROL!$C$23, $C$13, 100%, $E$13)</f>
        <v>3.8502999999999998</v>
      </c>
      <c r="K88" s="67">
        <f>3.855 * CHOOSE(CONTROL!$C$23, $C$13, 100%, $E$13)</f>
        <v>3.855</v>
      </c>
      <c r="L88" s="4"/>
      <c r="M88" s="4"/>
      <c r="N88" s="4"/>
    </row>
    <row r="89" spans="1:14" ht="15">
      <c r="A89" s="13">
        <v>43831</v>
      </c>
      <c r="B89" s="66">
        <f>3.167 * CHOOSE(CONTROL!$C$23, $C$13, 100%, $E$13)</f>
        <v>3.1669999999999998</v>
      </c>
      <c r="C89" s="66">
        <f>3.167 * CHOOSE(CONTROL!$C$23, $C$13, 100%, $E$13)</f>
        <v>3.1669999999999998</v>
      </c>
      <c r="D89" s="66">
        <f>3.1709 * CHOOSE(CONTROL!$C$23, $C$13, 100%, $E$13)</f>
        <v>3.1709000000000001</v>
      </c>
      <c r="E89" s="67">
        <f>3.8608 * CHOOSE(CONTROL!$C$23, $C$13, 100%, $E$13)</f>
        <v>3.8607999999999998</v>
      </c>
      <c r="F89" s="67">
        <f>3.8608 * CHOOSE(CONTROL!$C$23, $C$13, 100%, $E$13)</f>
        <v>3.8607999999999998</v>
      </c>
      <c r="G89" s="67">
        <f>3.8656 * CHOOSE(CONTROL!$C$23, $C$13, 100%, $E$13)</f>
        <v>3.8656000000000001</v>
      </c>
      <c r="H89" s="67">
        <f>6.8538* CHOOSE(CONTROL!$C$23, $C$13, 100%, $E$13)</f>
        <v>6.8537999999999997</v>
      </c>
      <c r="I89" s="67">
        <f>6.8585 * CHOOSE(CONTROL!$C$23, $C$13, 100%, $E$13)</f>
        <v>6.8585000000000003</v>
      </c>
      <c r="J89" s="67">
        <f>3.8608 * CHOOSE(CONTROL!$C$23, $C$13, 100%, $E$13)</f>
        <v>3.8607999999999998</v>
      </c>
      <c r="K89" s="67">
        <f>3.8656 * CHOOSE(CONTROL!$C$23, $C$13, 100%, $E$13)</f>
        <v>3.8656000000000001</v>
      </c>
      <c r="L89" s="4"/>
      <c r="M89" s="4"/>
      <c r="N89" s="4"/>
    </row>
    <row r="90" spans="1:14" ht="15">
      <c r="A90" s="13">
        <v>43862</v>
      </c>
      <c r="B90" s="66">
        <f>3.164 * CHOOSE(CONTROL!$C$23, $C$13, 100%, $E$13)</f>
        <v>3.1640000000000001</v>
      </c>
      <c r="C90" s="66">
        <f>3.164 * CHOOSE(CONTROL!$C$23, $C$13, 100%, $E$13)</f>
        <v>3.1640000000000001</v>
      </c>
      <c r="D90" s="66">
        <f>3.1678 * CHOOSE(CONTROL!$C$23, $C$13, 100%, $E$13)</f>
        <v>3.1678000000000002</v>
      </c>
      <c r="E90" s="67">
        <f>3.8041 * CHOOSE(CONTROL!$C$23, $C$13, 100%, $E$13)</f>
        <v>3.8041</v>
      </c>
      <c r="F90" s="67">
        <f>3.8041 * CHOOSE(CONTROL!$C$23, $C$13, 100%, $E$13)</f>
        <v>3.8041</v>
      </c>
      <c r="G90" s="67">
        <f>3.8088 * CHOOSE(CONTROL!$C$23, $C$13, 100%, $E$13)</f>
        <v>3.8088000000000002</v>
      </c>
      <c r="H90" s="67">
        <f>6.868* CHOOSE(CONTROL!$C$23, $C$13, 100%, $E$13)</f>
        <v>6.8680000000000003</v>
      </c>
      <c r="I90" s="67">
        <f>6.8728 * CHOOSE(CONTROL!$C$23, $C$13, 100%, $E$13)</f>
        <v>6.8727999999999998</v>
      </c>
      <c r="J90" s="67">
        <f>3.8041 * CHOOSE(CONTROL!$C$23, $C$13, 100%, $E$13)</f>
        <v>3.8041</v>
      </c>
      <c r="K90" s="67">
        <f>3.8088 * CHOOSE(CONTROL!$C$23, $C$13, 100%, $E$13)</f>
        <v>3.8088000000000002</v>
      </c>
      <c r="L90" s="4"/>
      <c r="M90" s="4"/>
      <c r="N90" s="4"/>
    </row>
    <row r="91" spans="1:14" ht="15">
      <c r="A91" s="13">
        <v>43891</v>
      </c>
      <c r="B91" s="66">
        <f>3.1609 * CHOOSE(CONTROL!$C$23, $C$13, 100%, $E$13)</f>
        <v>3.1608999999999998</v>
      </c>
      <c r="C91" s="66">
        <f>3.1609 * CHOOSE(CONTROL!$C$23, $C$13, 100%, $E$13)</f>
        <v>3.1608999999999998</v>
      </c>
      <c r="D91" s="66">
        <f>3.1648 * CHOOSE(CONTROL!$C$23, $C$13, 100%, $E$13)</f>
        <v>3.1648000000000001</v>
      </c>
      <c r="E91" s="67">
        <f>3.845 * CHOOSE(CONTROL!$C$23, $C$13, 100%, $E$13)</f>
        <v>3.8450000000000002</v>
      </c>
      <c r="F91" s="67">
        <f>3.845 * CHOOSE(CONTROL!$C$23, $C$13, 100%, $E$13)</f>
        <v>3.8450000000000002</v>
      </c>
      <c r="G91" s="67">
        <f>3.8498 * CHOOSE(CONTROL!$C$23, $C$13, 100%, $E$13)</f>
        <v>3.8498000000000001</v>
      </c>
      <c r="H91" s="67">
        <f>6.8823* CHOOSE(CONTROL!$C$23, $C$13, 100%, $E$13)</f>
        <v>6.8822999999999999</v>
      </c>
      <c r="I91" s="67">
        <f>6.8871 * CHOOSE(CONTROL!$C$23, $C$13, 100%, $E$13)</f>
        <v>6.8871000000000002</v>
      </c>
      <c r="J91" s="67">
        <f>3.845 * CHOOSE(CONTROL!$C$23, $C$13, 100%, $E$13)</f>
        <v>3.8450000000000002</v>
      </c>
      <c r="K91" s="67">
        <f>3.8498 * CHOOSE(CONTROL!$C$23, $C$13, 100%, $E$13)</f>
        <v>3.8498000000000001</v>
      </c>
      <c r="L91" s="4"/>
      <c r="M91" s="4"/>
      <c r="N91" s="4"/>
    </row>
    <row r="92" spans="1:14" ht="15">
      <c r="A92" s="13">
        <v>43922</v>
      </c>
      <c r="B92" s="66">
        <f>3.1577 * CHOOSE(CONTROL!$C$23, $C$13, 100%, $E$13)</f>
        <v>3.1577000000000002</v>
      </c>
      <c r="C92" s="66">
        <f>3.1577 * CHOOSE(CONTROL!$C$23, $C$13, 100%, $E$13)</f>
        <v>3.1577000000000002</v>
      </c>
      <c r="D92" s="66">
        <f>3.1616 * CHOOSE(CONTROL!$C$23, $C$13, 100%, $E$13)</f>
        <v>3.1616</v>
      </c>
      <c r="E92" s="67">
        <f>3.8871 * CHOOSE(CONTROL!$C$23, $C$13, 100%, $E$13)</f>
        <v>3.8871000000000002</v>
      </c>
      <c r="F92" s="67">
        <f>3.8871 * CHOOSE(CONTROL!$C$23, $C$13, 100%, $E$13)</f>
        <v>3.8871000000000002</v>
      </c>
      <c r="G92" s="67">
        <f>3.8919 * CHOOSE(CONTROL!$C$23, $C$13, 100%, $E$13)</f>
        <v>3.8919000000000001</v>
      </c>
      <c r="H92" s="67">
        <f>6.8967* CHOOSE(CONTROL!$C$23, $C$13, 100%, $E$13)</f>
        <v>6.8967000000000001</v>
      </c>
      <c r="I92" s="67">
        <f>6.9014 * CHOOSE(CONTROL!$C$23, $C$13, 100%, $E$13)</f>
        <v>6.9013999999999998</v>
      </c>
      <c r="J92" s="67">
        <f>3.8871 * CHOOSE(CONTROL!$C$23, $C$13, 100%, $E$13)</f>
        <v>3.8871000000000002</v>
      </c>
      <c r="K92" s="67">
        <f>3.8919 * CHOOSE(CONTROL!$C$23, $C$13, 100%, $E$13)</f>
        <v>3.8919000000000001</v>
      </c>
      <c r="L92" s="4"/>
      <c r="M92" s="4"/>
      <c r="N92" s="4"/>
    </row>
    <row r="93" spans="1:14" ht="15">
      <c r="A93" s="13">
        <v>43952</v>
      </c>
      <c r="B93" s="66">
        <f>3.1577 * CHOOSE(CONTROL!$C$23, $C$13, 100%, $E$13)</f>
        <v>3.1577000000000002</v>
      </c>
      <c r="C93" s="66">
        <f>3.1577 * CHOOSE(CONTROL!$C$23, $C$13, 100%, $E$13)</f>
        <v>3.1577000000000002</v>
      </c>
      <c r="D93" s="66">
        <f>3.1632 * CHOOSE(CONTROL!$C$23, $C$13, 100%, $E$13)</f>
        <v>3.1631999999999998</v>
      </c>
      <c r="E93" s="67">
        <f>3.9044 * CHOOSE(CONTROL!$C$23, $C$13, 100%, $E$13)</f>
        <v>3.9043999999999999</v>
      </c>
      <c r="F93" s="67">
        <f>3.9044 * CHOOSE(CONTROL!$C$23, $C$13, 100%, $E$13)</f>
        <v>3.9043999999999999</v>
      </c>
      <c r="G93" s="67">
        <f>3.9112 * CHOOSE(CONTROL!$C$23, $C$13, 100%, $E$13)</f>
        <v>3.9112</v>
      </c>
      <c r="H93" s="67">
        <f>6.911* CHOOSE(CONTROL!$C$23, $C$13, 100%, $E$13)</f>
        <v>6.9109999999999996</v>
      </c>
      <c r="I93" s="67">
        <f>6.9178 * CHOOSE(CONTROL!$C$23, $C$13, 100%, $E$13)</f>
        <v>6.9177999999999997</v>
      </c>
      <c r="J93" s="67">
        <f>3.9044 * CHOOSE(CONTROL!$C$23, $C$13, 100%, $E$13)</f>
        <v>3.9043999999999999</v>
      </c>
      <c r="K93" s="67">
        <f>3.9112 * CHOOSE(CONTROL!$C$23, $C$13, 100%, $E$13)</f>
        <v>3.9112</v>
      </c>
      <c r="L93" s="4"/>
      <c r="M93" s="4"/>
      <c r="N93" s="4"/>
    </row>
    <row r="94" spans="1:14" ht="15">
      <c r="A94" s="13">
        <v>43983</v>
      </c>
      <c r="B94" s="66">
        <f>3.1638 * CHOOSE(CONTROL!$C$23, $C$13, 100%, $E$13)</f>
        <v>3.1638000000000002</v>
      </c>
      <c r="C94" s="66">
        <f>3.1638 * CHOOSE(CONTROL!$C$23, $C$13, 100%, $E$13)</f>
        <v>3.1638000000000002</v>
      </c>
      <c r="D94" s="66">
        <f>3.1693 * CHOOSE(CONTROL!$C$23, $C$13, 100%, $E$13)</f>
        <v>3.1692999999999998</v>
      </c>
      <c r="E94" s="67">
        <f>3.8913 * CHOOSE(CONTROL!$C$23, $C$13, 100%, $E$13)</f>
        <v>3.8913000000000002</v>
      </c>
      <c r="F94" s="67">
        <f>3.8913 * CHOOSE(CONTROL!$C$23, $C$13, 100%, $E$13)</f>
        <v>3.8913000000000002</v>
      </c>
      <c r="G94" s="67">
        <f>3.8981 * CHOOSE(CONTROL!$C$23, $C$13, 100%, $E$13)</f>
        <v>3.8980999999999999</v>
      </c>
      <c r="H94" s="67">
        <f>6.9254* CHOOSE(CONTROL!$C$23, $C$13, 100%, $E$13)</f>
        <v>6.9253999999999998</v>
      </c>
      <c r="I94" s="67">
        <f>6.9322 * CHOOSE(CONTROL!$C$23, $C$13, 100%, $E$13)</f>
        <v>6.9321999999999999</v>
      </c>
      <c r="J94" s="67">
        <f>3.8913 * CHOOSE(CONTROL!$C$23, $C$13, 100%, $E$13)</f>
        <v>3.8913000000000002</v>
      </c>
      <c r="K94" s="67">
        <f>3.8981 * CHOOSE(CONTROL!$C$23, $C$13, 100%, $E$13)</f>
        <v>3.8980999999999999</v>
      </c>
      <c r="L94" s="4"/>
      <c r="M94" s="4"/>
      <c r="N94" s="4"/>
    </row>
    <row r="95" spans="1:14" ht="15">
      <c r="A95" s="13">
        <v>44013</v>
      </c>
      <c r="B95" s="66">
        <f>3.2348 * CHOOSE(CONTROL!$C$23, $C$13, 100%, $E$13)</f>
        <v>3.2347999999999999</v>
      </c>
      <c r="C95" s="66">
        <f>3.2348 * CHOOSE(CONTROL!$C$23, $C$13, 100%, $E$13)</f>
        <v>3.2347999999999999</v>
      </c>
      <c r="D95" s="66">
        <f>3.2403 * CHOOSE(CONTROL!$C$23, $C$13, 100%, $E$13)</f>
        <v>3.2403</v>
      </c>
      <c r="E95" s="67">
        <f>3.6313 * CHOOSE(CONTROL!$C$23, $C$13, 100%, $E$13)</f>
        <v>3.6313</v>
      </c>
      <c r="F95" s="67">
        <f>3.6313 * CHOOSE(CONTROL!$C$23, $C$13, 100%, $E$13)</f>
        <v>3.6313</v>
      </c>
      <c r="G95" s="67">
        <f>3.638 * CHOOSE(CONTROL!$C$23, $C$13, 100%, $E$13)</f>
        <v>3.6379999999999999</v>
      </c>
      <c r="H95" s="67">
        <f>6.9399* CHOOSE(CONTROL!$C$23, $C$13, 100%, $E$13)</f>
        <v>6.9398999999999997</v>
      </c>
      <c r="I95" s="67">
        <f>6.9466 * CHOOSE(CONTROL!$C$23, $C$13, 100%, $E$13)</f>
        <v>6.9466000000000001</v>
      </c>
      <c r="J95" s="67">
        <f>3.6313 * CHOOSE(CONTROL!$C$23, $C$13, 100%, $E$13)</f>
        <v>3.6313</v>
      </c>
      <c r="K95" s="67">
        <f>3.638 * CHOOSE(CONTROL!$C$23, $C$13, 100%, $E$13)</f>
        <v>3.6379999999999999</v>
      </c>
      <c r="L95" s="4"/>
      <c r="M95" s="4"/>
      <c r="N95" s="4"/>
    </row>
    <row r="96" spans="1:14" ht="15">
      <c r="A96" s="13">
        <v>44044</v>
      </c>
      <c r="B96" s="66">
        <f>3.2415 * CHOOSE(CONTROL!$C$23, $C$13, 100%, $E$13)</f>
        <v>3.2414999999999998</v>
      </c>
      <c r="C96" s="66">
        <f>3.2415 * CHOOSE(CONTROL!$C$23, $C$13, 100%, $E$13)</f>
        <v>3.2414999999999998</v>
      </c>
      <c r="D96" s="66">
        <f>3.247 * CHOOSE(CONTROL!$C$23, $C$13, 100%, $E$13)</f>
        <v>3.2469999999999999</v>
      </c>
      <c r="E96" s="67">
        <f>3.5839 * CHOOSE(CONTROL!$C$23, $C$13, 100%, $E$13)</f>
        <v>3.5838999999999999</v>
      </c>
      <c r="F96" s="67">
        <f>3.5839 * CHOOSE(CONTROL!$C$23, $C$13, 100%, $E$13)</f>
        <v>3.5838999999999999</v>
      </c>
      <c r="G96" s="67">
        <f>3.5906 * CHOOSE(CONTROL!$C$23, $C$13, 100%, $E$13)</f>
        <v>3.5905999999999998</v>
      </c>
      <c r="H96" s="67">
        <f>6.9543* CHOOSE(CONTROL!$C$23, $C$13, 100%, $E$13)</f>
        <v>6.9542999999999999</v>
      </c>
      <c r="I96" s="67">
        <f>6.9611 * CHOOSE(CONTROL!$C$23, $C$13, 100%, $E$13)</f>
        <v>6.9611000000000001</v>
      </c>
      <c r="J96" s="67">
        <f>3.5839 * CHOOSE(CONTROL!$C$23, $C$13, 100%, $E$13)</f>
        <v>3.5838999999999999</v>
      </c>
      <c r="K96" s="67">
        <f>3.5906 * CHOOSE(CONTROL!$C$23, $C$13, 100%, $E$13)</f>
        <v>3.5905999999999998</v>
      </c>
      <c r="L96" s="4"/>
      <c r="M96" s="4"/>
      <c r="N96" s="4"/>
    </row>
    <row r="97" spans="1:14" ht="15">
      <c r="A97" s="13">
        <v>44075</v>
      </c>
      <c r="B97" s="66">
        <f>3.2384 * CHOOSE(CONTROL!$C$23, $C$13, 100%, $E$13)</f>
        <v>3.2383999999999999</v>
      </c>
      <c r="C97" s="66">
        <f>3.2384 * CHOOSE(CONTROL!$C$23, $C$13, 100%, $E$13)</f>
        <v>3.2383999999999999</v>
      </c>
      <c r="D97" s="66">
        <f>3.2439 * CHOOSE(CONTROL!$C$23, $C$13, 100%, $E$13)</f>
        <v>3.2439</v>
      </c>
      <c r="E97" s="67">
        <f>3.576 * CHOOSE(CONTROL!$C$23, $C$13, 100%, $E$13)</f>
        <v>3.5760000000000001</v>
      </c>
      <c r="F97" s="67">
        <f>3.576 * CHOOSE(CONTROL!$C$23, $C$13, 100%, $E$13)</f>
        <v>3.5760000000000001</v>
      </c>
      <c r="G97" s="67">
        <f>3.5827 * CHOOSE(CONTROL!$C$23, $C$13, 100%, $E$13)</f>
        <v>3.5827</v>
      </c>
      <c r="H97" s="67">
        <f>6.9688* CHOOSE(CONTROL!$C$23, $C$13, 100%, $E$13)</f>
        <v>6.9687999999999999</v>
      </c>
      <c r="I97" s="67">
        <f>6.9756 * CHOOSE(CONTROL!$C$23, $C$13, 100%, $E$13)</f>
        <v>6.9756</v>
      </c>
      <c r="J97" s="67">
        <f>3.576 * CHOOSE(CONTROL!$C$23, $C$13, 100%, $E$13)</f>
        <v>3.5760000000000001</v>
      </c>
      <c r="K97" s="67">
        <f>3.5827 * CHOOSE(CONTROL!$C$23, $C$13, 100%, $E$13)</f>
        <v>3.5827</v>
      </c>
      <c r="L97" s="4"/>
      <c r="M97" s="4"/>
      <c r="N97" s="4"/>
    </row>
    <row r="98" spans="1:14" ht="15">
      <c r="A98" s="13">
        <v>44105</v>
      </c>
      <c r="B98" s="66">
        <f>3.2304 * CHOOSE(CONTROL!$C$23, $C$13, 100%, $E$13)</f>
        <v>3.2303999999999999</v>
      </c>
      <c r="C98" s="66">
        <f>3.2304 * CHOOSE(CONTROL!$C$23, $C$13, 100%, $E$13)</f>
        <v>3.2303999999999999</v>
      </c>
      <c r="D98" s="66">
        <f>3.2343 * CHOOSE(CONTROL!$C$23, $C$13, 100%, $E$13)</f>
        <v>3.2343000000000002</v>
      </c>
      <c r="E98" s="67">
        <f>3.5857 * CHOOSE(CONTROL!$C$23, $C$13, 100%, $E$13)</f>
        <v>3.5857000000000001</v>
      </c>
      <c r="F98" s="67">
        <f>3.5857 * CHOOSE(CONTROL!$C$23, $C$13, 100%, $E$13)</f>
        <v>3.5857000000000001</v>
      </c>
      <c r="G98" s="67">
        <f>3.5905 * CHOOSE(CONTROL!$C$23, $C$13, 100%, $E$13)</f>
        <v>3.5905</v>
      </c>
      <c r="H98" s="67">
        <f>6.9833* CHOOSE(CONTROL!$C$23, $C$13, 100%, $E$13)</f>
        <v>6.9832999999999998</v>
      </c>
      <c r="I98" s="67">
        <f>6.9881 * CHOOSE(CONTROL!$C$23, $C$13, 100%, $E$13)</f>
        <v>6.9881000000000002</v>
      </c>
      <c r="J98" s="67">
        <f>3.5857 * CHOOSE(CONTROL!$C$23, $C$13, 100%, $E$13)</f>
        <v>3.5857000000000001</v>
      </c>
      <c r="K98" s="67">
        <f>3.5905 * CHOOSE(CONTROL!$C$23, $C$13, 100%, $E$13)</f>
        <v>3.5905</v>
      </c>
      <c r="L98" s="4"/>
      <c r="M98" s="4"/>
      <c r="N98" s="4"/>
    </row>
    <row r="99" spans="1:14" ht="15">
      <c r="A99" s="13">
        <v>44136</v>
      </c>
      <c r="B99" s="66">
        <f>3.2335 * CHOOSE(CONTROL!$C$23, $C$13, 100%, $E$13)</f>
        <v>3.2334999999999998</v>
      </c>
      <c r="C99" s="66">
        <f>3.2335 * CHOOSE(CONTROL!$C$23, $C$13, 100%, $E$13)</f>
        <v>3.2334999999999998</v>
      </c>
      <c r="D99" s="66">
        <f>3.2373 * CHOOSE(CONTROL!$C$23, $C$13, 100%, $E$13)</f>
        <v>3.2372999999999998</v>
      </c>
      <c r="E99" s="67">
        <f>3.5994 * CHOOSE(CONTROL!$C$23, $C$13, 100%, $E$13)</f>
        <v>3.5994000000000002</v>
      </c>
      <c r="F99" s="67">
        <f>3.5994 * CHOOSE(CONTROL!$C$23, $C$13, 100%, $E$13)</f>
        <v>3.5994000000000002</v>
      </c>
      <c r="G99" s="67">
        <f>3.6041 * CHOOSE(CONTROL!$C$23, $C$13, 100%, $E$13)</f>
        <v>3.6040999999999999</v>
      </c>
      <c r="H99" s="67">
        <f>6.9979* CHOOSE(CONTROL!$C$23, $C$13, 100%, $E$13)</f>
        <v>6.9978999999999996</v>
      </c>
      <c r="I99" s="67">
        <f>7.0027 * CHOOSE(CONTROL!$C$23, $C$13, 100%, $E$13)</f>
        <v>7.0026999999999999</v>
      </c>
      <c r="J99" s="67">
        <f>3.5994 * CHOOSE(CONTROL!$C$23, $C$13, 100%, $E$13)</f>
        <v>3.5994000000000002</v>
      </c>
      <c r="K99" s="67">
        <f>3.6041 * CHOOSE(CONTROL!$C$23, $C$13, 100%, $E$13)</f>
        <v>3.6040999999999999</v>
      </c>
      <c r="L99" s="4"/>
      <c r="M99" s="4"/>
      <c r="N99" s="4"/>
    </row>
    <row r="100" spans="1:14" ht="15">
      <c r="A100" s="13">
        <v>44166</v>
      </c>
      <c r="B100" s="66">
        <f>3.2335 * CHOOSE(CONTROL!$C$23, $C$13, 100%, $E$13)</f>
        <v>3.2334999999999998</v>
      </c>
      <c r="C100" s="66">
        <f>3.2335 * CHOOSE(CONTROL!$C$23, $C$13, 100%, $E$13)</f>
        <v>3.2334999999999998</v>
      </c>
      <c r="D100" s="66">
        <f>3.2373 * CHOOSE(CONTROL!$C$23, $C$13, 100%, $E$13)</f>
        <v>3.2372999999999998</v>
      </c>
      <c r="E100" s="67">
        <f>3.5704 * CHOOSE(CONTROL!$C$23, $C$13, 100%, $E$13)</f>
        <v>3.5703999999999998</v>
      </c>
      <c r="F100" s="67">
        <f>3.5704 * CHOOSE(CONTROL!$C$23, $C$13, 100%, $E$13)</f>
        <v>3.5703999999999998</v>
      </c>
      <c r="G100" s="67">
        <f>3.5752 * CHOOSE(CONTROL!$C$23, $C$13, 100%, $E$13)</f>
        <v>3.5752000000000002</v>
      </c>
      <c r="H100" s="67">
        <f>7.0125* CHOOSE(CONTROL!$C$23, $C$13, 100%, $E$13)</f>
        <v>7.0125000000000002</v>
      </c>
      <c r="I100" s="67">
        <f>7.0172 * CHOOSE(CONTROL!$C$23, $C$13, 100%, $E$13)</f>
        <v>7.0171999999999999</v>
      </c>
      <c r="J100" s="67">
        <f>3.5704 * CHOOSE(CONTROL!$C$23, $C$13, 100%, $E$13)</f>
        <v>3.5703999999999998</v>
      </c>
      <c r="K100" s="67">
        <f>3.5752 * CHOOSE(CONTROL!$C$23, $C$13, 100%, $E$13)</f>
        <v>3.5752000000000002</v>
      </c>
      <c r="L100" s="4"/>
      <c r="M100" s="4"/>
      <c r="N100" s="4"/>
    </row>
    <row r="101" spans="1:14" ht="15">
      <c r="A101" s="13">
        <v>44197</v>
      </c>
      <c r="B101" s="66">
        <f>3.2543 * CHOOSE(CONTROL!$C$23, $C$13, 100%, $E$13)</f>
        <v>3.2543000000000002</v>
      </c>
      <c r="C101" s="66">
        <f>3.2543 * CHOOSE(CONTROL!$C$23, $C$13, 100%, $E$13)</f>
        <v>3.2543000000000002</v>
      </c>
      <c r="D101" s="66">
        <f>3.2582 * CHOOSE(CONTROL!$C$23, $C$13, 100%, $E$13)</f>
        <v>3.2582</v>
      </c>
      <c r="E101" s="67">
        <f>3.6909 * CHOOSE(CONTROL!$C$23, $C$13, 100%, $E$13)</f>
        <v>3.6909000000000001</v>
      </c>
      <c r="F101" s="67">
        <f>3.6909 * CHOOSE(CONTROL!$C$23, $C$13, 100%, $E$13)</f>
        <v>3.6909000000000001</v>
      </c>
      <c r="G101" s="67">
        <f>3.6956 * CHOOSE(CONTROL!$C$23, $C$13, 100%, $E$13)</f>
        <v>3.6956000000000002</v>
      </c>
      <c r="H101" s="67">
        <f>7.0271* CHOOSE(CONTROL!$C$23, $C$13, 100%, $E$13)</f>
        <v>7.0270999999999999</v>
      </c>
      <c r="I101" s="67">
        <f>7.0318 * CHOOSE(CONTROL!$C$23, $C$13, 100%, $E$13)</f>
        <v>7.0317999999999996</v>
      </c>
      <c r="J101" s="67">
        <f>3.6909 * CHOOSE(CONTROL!$C$23, $C$13, 100%, $E$13)</f>
        <v>3.6909000000000001</v>
      </c>
      <c r="K101" s="67">
        <f>3.6956 * CHOOSE(CONTROL!$C$23, $C$13, 100%, $E$13)</f>
        <v>3.6956000000000002</v>
      </c>
      <c r="L101" s="4"/>
      <c r="M101" s="4"/>
      <c r="N101" s="4"/>
    </row>
    <row r="102" spans="1:14" ht="15">
      <c r="A102" s="13">
        <v>44228</v>
      </c>
      <c r="B102" s="66">
        <f>3.2513 * CHOOSE(CONTROL!$C$23, $C$13, 100%, $E$13)</f>
        <v>3.2513000000000001</v>
      </c>
      <c r="C102" s="66">
        <f>3.2513 * CHOOSE(CONTROL!$C$23, $C$13, 100%, $E$13)</f>
        <v>3.2513000000000001</v>
      </c>
      <c r="D102" s="66">
        <f>3.2551 * CHOOSE(CONTROL!$C$23, $C$13, 100%, $E$13)</f>
        <v>3.2551000000000001</v>
      </c>
      <c r="E102" s="67">
        <f>3.6298 * CHOOSE(CONTROL!$C$23, $C$13, 100%, $E$13)</f>
        <v>3.6297999999999999</v>
      </c>
      <c r="F102" s="67">
        <f>3.6298 * CHOOSE(CONTROL!$C$23, $C$13, 100%, $E$13)</f>
        <v>3.6297999999999999</v>
      </c>
      <c r="G102" s="67">
        <f>3.6346 * CHOOSE(CONTROL!$C$23, $C$13, 100%, $E$13)</f>
        <v>3.6345999999999998</v>
      </c>
      <c r="H102" s="67">
        <f>7.0417* CHOOSE(CONTROL!$C$23, $C$13, 100%, $E$13)</f>
        <v>7.0416999999999996</v>
      </c>
      <c r="I102" s="67">
        <f>7.0465 * CHOOSE(CONTROL!$C$23, $C$13, 100%, $E$13)</f>
        <v>7.0465</v>
      </c>
      <c r="J102" s="67">
        <f>3.6298 * CHOOSE(CONTROL!$C$23, $C$13, 100%, $E$13)</f>
        <v>3.6297999999999999</v>
      </c>
      <c r="K102" s="67">
        <f>3.6346 * CHOOSE(CONTROL!$C$23, $C$13, 100%, $E$13)</f>
        <v>3.6345999999999998</v>
      </c>
      <c r="L102" s="4"/>
      <c r="M102" s="4"/>
      <c r="N102" s="4"/>
    </row>
    <row r="103" spans="1:14" ht="15">
      <c r="A103" s="13">
        <v>44256</v>
      </c>
      <c r="B103" s="66">
        <f>3.2482 * CHOOSE(CONTROL!$C$23, $C$13, 100%, $E$13)</f>
        <v>3.2482000000000002</v>
      </c>
      <c r="C103" s="66">
        <f>3.2482 * CHOOSE(CONTROL!$C$23, $C$13, 100%, $E$13)</f>
        <v>3.2482000000000002</v>
      </c>
      <c r="D103" s="66">
        <f>3.2521 * CHOOSE(CONTROL!$C$23, $C$13, 100%, $E$13)</f>
        <v>3.2521</v>
      </c>
      <c r="E103" s="67">
        <f>3.6741 * CHOOSE(CONTROL!$C$23, $C$13, 100%, $E$13)</f>
        <v>3.6741000000000001</v>
      </c>
      <c r="F103" s="67">
        <f>3.6741 * CHOOSE(CONTROL!$C$23, $C$13, 100%, $E$13)</f>
        <v>3.6741000000000001</v>
      </c>
      <c r="G103" s="67">
        <f>3.6789 * CHOOSE(CONTROL!$C$23, $C$13, 100%, $E$13)</f>
        <v>3.6789000000000001</v>
      </c>
      <c r="H103" s="67">
        <f>7.0564* CHOOSE(CONTROL!$C$23, $C$13, 100%, $E$13)</f>
        <v>7.0564</v>
      </c>
      <c r="I103" s="67">
        <f>7.0612 * CHOOSE(CONTROL!$C$23, $C$13, 100%, $E$13)</f>
        <v>7.0612000000000004</v>
      </c>
      <c r="J103" s="67">
        <f>3.6741 * CHOOSE(CONTROL!$C$23, $C$13, 100%, $E$13)</f>
        <v>3.6741000000000001</v>
      </c>
      <c r="K103" s="67">
        <f>3.6789 * CHOOSE(CONTROL!$C$23, $C$13, 100%, $E$13)</f>
        <v>3.6789000000000001</v>
      </c>
      <c r="L103" s="4"/>
      <c r="M103" s="4"/>
      <c r="N103" s="4"/>
    </row>
    <row r="104" spans="1:14" ht="15">
      <c r="A104" s="13">
        <v>44287</v>
      </c>
      <c r="B104" s="66">
        <f>3.2451 * CHOOSE(CONTROL!$C$23, $C$13, 100%, $E$13)</f>
        <v>3.2450999999999999</v>
      </c>
      <c r="C104" s="66">
        <f>3.2451 * CHOOSE(CONTROL!$C$23, $C$13, 100%, $E$13)</f>
        <v>3.2450999999999999</v>
      </c>
      <c r="D104" s="66">
        <f>3.249 * CHOOSE(CONTROL!$C$23, $C$13, 100%, $E$13)</f>
        <v>3.2490000000000001</v>
      </c>
      <c r="E104" s="67">
        <f>3.7198 * CHOOSE(CONTROL!$C$23, $C$13, 100%, $E$13)</f>
        <v>3.7198000000000002</v>
      </c>
      <c r="F104" s="67">
        <f>3.7198 * CHOOSE(CONTROL!$C$23, $C$13, 100%, $E$13)</f>
        <v>3.7198000000000002</v>
      </c>
      <c r="G104" s="67">
        <f>3.7246 * CHOOSE(CONTROL!$C$23, $C$13, 100%, $E$13)</f>
        <v>3.7246000000000001</v>
      </c>
      <c r="H104" s="67">
        <f>7.0711* CHOOSE(CONTROL!$C$23, $C$13, 100%, $E$13)</f>
        <v>7.0711000000000004</v>
      </c>
      <c r="I104" s="67">
        <f>7.0759 * CHOOSE(CONTROL!$C$23, $C$13, 100%, $E$13)</f>
        <v>7.0758999999999999</v>
      </c>
      <c r="J104" s="67">
        <f>3.7198 * CHOOSE(CONTROL!$C$23, $C$13, 100%, $E$13)</f>
        <v>3.7198000000000002</v>
      </c>
      <c r="K104" s="67">
        <f>3.7246 * CHOOSE(CONTROL!$C$23, $C$13, 100%, $E$13)</f>
        <v>3.7246000000000001</v>
      </c>
      <c r="L104" s="4"/>
      <c r="M104" s="4"/>
      <c r="N104" s="4"/>
    </row>
    <row r="105" spans="1:14" ht="15">
      <c r="A105" s="13">
        <v>44317</v>
      </c>
      <c r="B105" s="66">
        <f>3.2451 * CHOOSE(CONTROL!$C$23, $C$13, 100%, $E$13)</f>
        <v>3.2450999999999999</v>
      </c>
      <c r="C105" s="66">
        <f>3.2451 * CHOOSE(CONTROL!$C$23, $C$13, 100%, $E$13)</f>
        <v>3.2450999999999999</v>
      </c>
      <c r="D105" s="66">
        <f>3.2506 * CHOOSE(CONTROL!$C$23, $C$13, 100%, $E$13)</f>
        <v>3.2505999999999999</v>
      </c>
      <c r="E105" s="67">
        <f>3.7385 * CHOOSE(CONTROL!$C$23, $C$13, 100%, $E$13)</f>
        <v>3.7385000000000002</v>
      </c>
      <c r="F105" s="67">
        <f>3.7385 * CHOOSE(CONTROL!$C$23, $C$13, 100%, $E$13)</f>
        <v>3.7385000000000002</v>
      </c>
      <c r="G105" s="67">
        <f>3.7453 * CHOOSE(CONTROL!$C$23, $C$13, 100%, $E$13)</f>
        <v>3.7452999999999999</v>
      </c>
      <c r="H105" s="67">
        <f>7.0858* CHOOSE(CONTROL!$C$23, $C$13, 100%, $E$13)</f>
        <v>7.0857999999999999</v>
      </c>
      <c r="I105" s="67">
        <f>7.0926 * CHOOSE(CONTROL!$C$23, $C$13, 100%, $E$13)</f>
        <v>7.0926</v>
      </c>
      <c r="J105" s="67">
        <f>3.7385 * CHOOSE(CONTROL!$C$23, $C$13, 100%, $E$13)</f>
        <v>3.7385000000000002</v>
      </c>
      <c r="K105" s="67">
        <f>3.7453 * CHOOSE(CONTROL!$C$23, $C$13, 100%, $E$13)</f>
        <v>3.7452999999999999</v>
      </c>
      <c r="L105" s="4"/>
      <c r="M105" s="4"/>
      <c r="N105" s="4"/>
    </row>
    <row r="106" spans="1:14" ht="15">
      <c r="A106" s="13">
        <v>44348</v>
      </c>
      <c r="B106" s="66">
        <f>3.2512 * CHOOSE(CONTROL!$C$23, $C$13, 100%, $E$13)</f>
        <v>3.2511999999999999</v>
      </c>
      <c r="C106" s="66">
        <f>3.2512 * CHOOSE(CONTROL!$C$23, $C$13, 100%, $E$13)</f>
        <v>3.2511999999999999</v>
      </c>
      <c r="D106" s="66">
        <f>3.2567 * CHOOSE(CONTROL!$C$23, $C$13, 100%, $E$13)</f>
        <v>3.2566999999999999</v>
      </c>
      <c r="E106" s="67">
        <f>3.724 * CHOOSE(CONTROL!$C$23, $C$13, 100%, $E$13)</f>
        <v>3.7240000000000002</v>
      </c>
      <c r="F106" s="67">
        <f>3.724 * CHOOSE(CONTROL!$C$23, $C$13, 100%, $E$13)</f>
        <v>3.7240000000000002</v>
      </c>
      <c r="G106" s="67">
        <f>3.7308 * CHOOSE(CONTROL!$C$23, $C$13, 100%, $E$13)</f>
        <v>3.7307999999999999</v>
      </c>
      <c r="H106" s="67">
        <f>7.1006* CHOOSE(CONTROL!$C$23, $C$13, 100%, $E$13)</f>
        <v>7.1006</v>
      </c>
      <c r="I106" s="67">
        <f>7.1073 * CHOOSE(CONTROL!$C$23, $C$13, 100%, $E$13)</f>
        <v>7.1073000000000004</v>
      </c>
      <c r="J106" s="67">
        <f>3.724 * CHOOSE(CONTROL!$C$23, $C$13, 100%, $E$13)</f>
        <v>3.7240000000000002</v>
      </c>
      <c r="K106" s="67">
        <f>3.7308 * CHOOSE(CONTROL!$C$23, $C$13, 100%, $E$13)</f>
        <v>3.7307999999999999</v>
      </c>
      <c r="L106" s="4"/>
      <c r="M106" s="4"/>
      <c r="N106" s="4"/>
    </row>
    <row r="107" spans="1:14" ht="15">
      <c r="A107" s="13">
        <v>44378</v>
      </c>
      <c r="B107" s="66">
        <f>3.2867 * CHOOSE(CONTROL!$C$23, $C$13, 100%, $E$13)</f>
        <v>3.2867000000000002</v>
      </c>
      <c r="C107" s="66">
        <f>3.2867 * CHOOSE(CONTROL!$C$23, $C$13, 100%, $E$13)</f>
        <v>3.2867000000000002</v>
      </c>
      <c r="D107" s="66">
        <f>3.2922 * CHOOSE(CONTROL!$C$23, $C$13, 100%, $E$13)</f>
        <v>3.2921999999999998</v>
      </c>
      <c r="E107" s="67">
        <f>3.8884 * CHOOSE(CONTROL!$C$23, $C$13, 100%, $E$13)</f>
        <v>3.8883999999999999</v>
      </c>
      <c r="F107" s="67">
        <f>3.8884 * CHOOSE(CONTROL!$C$23, $C$13, 100%, $E$13)</f>
        <v>3.8883999999999999</v>
      </c>
      <c r="G107" s="67">
        <f>3.8951 * CHOOSE(CONTROL!$C$23, $C$13, 100%, $E$13)</f>
        <v>3.8950999999999998</v>
      </c>
      <c r="H107" s="67">
        <f>7.1154* CHOOSE(CONTROL!$C$23, $C$13, 100%, $E$13)</f>
        <v>7.1154000000000002</v>
      </c>
      <c r="I107" s="67">
        <f>7.1221 * CHOOSE(CONTROL!$C$23, $C$13, 100%, $E$13)</f>
        <v>7.1220999999999997</v>
      </c>
      <c r="J107" s="67">
        <f>3.8884 * CHOOSE(CONTROL!$C$23, $C$13, 100%, $E$13)</f>
        <v>3.8883999999999999</v>
      </c>
      <c r="K107" s="67">
        <f>3.8951 * CHOOSE(CONTROL!$C$23, $C$13, 100%, $E$13)</f>
        <v>3.8950999999999998</v>
      </c>
      <c r="L107" s="4"/>
      <c r="M107" s="4"/>
      <c r="N107" s="4"/>
    </row>
    <row r="108" spans="1:14" ht="15">
      <c r="A108" s="13">
        <v>44409</v>
      </c>
      <c r="B108" s="66">
        <f>3.2934 * CHOOSE(CONTROL!$C$23, $C$13, 100%, $E$13)</f>
        <v>3.2934000000000001</v>
      </c>
      <c r="C108" s="66">
        <f>3.2934 * CHOOSE(CONTROL!$C$23, $C$13, 100%, $E$13)</f>
        <v>3.2934000000000001</v>
      </c>
      <c r="D108" s="66">
        <f>3.2989 * CHOOSE(CONTROL!$C$23, $C$13, 100%, $E$13)</f>
        <v>3.2989000000000002</v>
      </c>
      <c r="E108" s="67">
        <f>3.8369 * CHOOSE(CONTROL!$C$23, $C$13, 100%, $E$13)</f>
        <v>3.8369</v>
      </c>
      <c r="F108" s="67">
        <f>3.8369 * CHOOSE(CONTROL!$C$23, $C$13, 100%, $E$13)</f>
        <v>3.8369</v>
      </c>
      <c r="G108" s="67">
        <f>3.8436 * CHOOSE(CONTROL!$C$23, $C$13, 100%, $E$13)</f>
        <v>3.8435999999999999</v>
      </c>
      <c r="H108" s="67">
        <f>7.1302* CHOOSE(CONTROL!$C$23, $C$13, 100%, $E$13)</f>
        <v>7.1302000000000003</v>
      </c>
      <c r="I108" s="67">
        <f>7.1369 * CHOOSE(CONTROL!$C$23, $C$13, 100%, $E$13)</f>
        <v>7.1368999999999998</v>
      </c>
      <c r="J108" s="67">
        <f>3.8369 * CHOOSE(CONTROL!$C$23, $C$13, 100%, $E$13)</f>
        <v>3.8369</v>
      </c>
      <c r="K108" s="67">
        <f>3.8436 * CHOOSE(CONTROL!$C$23, $C$13, 100%, $E$13)</f>
        <v>3.8435999999999999</v>
      </c>
      <c r="L108" s="4"/>
      <c r="M108" s="4"/>
      <c r="N108" s="4"/>
    </row>
    <row r="109" spans="1:14" ht="15">
      <c r="A109" s="13">
        <v>44440</v>
      </c>
      <c r="B109" s="66">
        <f>3.2903 * CHOOSE(CONTROL!$C$23, $C$13, 100%, $E$13)</f>
        <v>3.2902999999999998</v>
      </c>
      <c r="C109" s="66">
        <f>3.2903 * CHOOSE(CONTROL!$C$23, $C$13, 100%, $E$13)</f>
        <v>3.2902999999999998</v>
      </c>
      <c r="D109" s="66">
        <f>3.2958 * CHOOSE(CONTROL!$C$23, $C$13, 100%, $E$13)</f>
        <v>3.2957999999999998</v>
      </c>
      <c r="E109" s="67">
        <f>3.8285 * CHOOSE(CONTROL!$C$23, $C$13, 100%, $E$13)</f>
        <v>3.8285</v>
      </c>
      <c r="F109" s="67">
        <f>3.8285 * CHOOSE(CONTROL!$C$23, $C$13, 100%, $E$13)</f>
        <v>3.8285</v>
      </c>
      <c r="G109" s="67">
        <f>3.8353 * CHOOSE(CONTROL!$C$23, $C$13, 100%, $E$13)</f>
        <v>3.8353000000000002</v>
      </c>
      <c r="H109" s="67">
        <f>7.145* CHOOSE(CONTROL!$C$23, $C$13, 100%, $E$13)</f>
        <v>7.1449999999999996</v>
      </c>
      <c r="I109" s="67">
        <f>7.1518 * CHOOSE(CONTROL!$C$23, $C$13, 100%, $E$13)</f>
        <v>7.1517999999999997</v>
      </c>
      <c r="J109" s="67">
        <f>3.8285 * CHOOSE(CONTROL!$C$23, $C$13, 100%, $E$13)</f>
        <v>3.8285</v>
      </c>
      <c r="K109" s="67">
        <f>3.8353 * CHOOSE(CONTROL!$C$23, $C$13, 100%, $E$13)</f>
        <v>3.8353000000000002</v>
      </c>
      <c r="L109" s="4"/>
      <c r="M109" s="4"/>
      <c r="N109" s="4"/>
    </row>
    <row r="110" spans="1:14" ht="15">
      <c r="A110" s="13">
        <v>44470</v>
      </c>
      <c r="B110" s="66">
        <f>3.2826 * CHOOSE(CONTROL!$C$23, $C$13, 100%, $E$13)</f>
        <v>3.2826</v>
      </c>
      <c r="C110" s="66">
        <f>3.2826 * CHOOSE(CONTROL!$C$23, $C$13, 100%, $E$13)</f>
        <v>3.2826</v>
      </c>
      <c r="D110" s="66">
        <f>3.2864 * CHOOSE(CONTROL!$C$23, $C$13, 100%, $E$13)</f>
        <v>3.2864</v>
      </c>
      <c r="E110" s="67">
        <f>3.8401 * CHOOSE(CONTROL!$C$23, $C$13, 100%, $E$13)</f>
        <v>3.8401000000000001</v>
      </c>
      <c r="F110" s="67">
        <f>3.8401 * CHOOSE(CONTROL!$C$23, $C$13, 100%, $E$13)</f>
        <v>3.8401000000000001</v>
      </c>
      <c r="G110" s="67">
        <f>3.8448 * CHOOSE(CONTROL!$C$23, $C$13, 100%, $E$13)</f>
        <v>3.8448000000000002</v>
      </c>
      <c r="H110" s="67">
        <f>7.1599* CHOOSE(CONTROL!$C$23, $C$13, 100%, $E$13)</f>
        <v>7.1599000000000004</v>
      </c>
      <c r="I110" s="67">
        <f>7.1647 * CHOOSE(CONTROL!$C$23, $C$13, 100%, $E$13)</f>
        <v>7.1646999999999998</v>
      </c>
      <c r="J110" s="67">
        <f>3.8401 * CHOOSE(CONTROL!$C$23, $C$13, 100%, $E$13)</f>
        <v>3.8401000000000001</v>
      </c>
      <c r="K110" s="67">
        <f>3.8448 * CHOOSE(CONTROL!$C$23, $C$13, 100%, $E$13)</f>
        <v>3.8448000000000002</v>
      </c>
      <c r="L110" s="4"/>
      <c r="M110" s="4"/>
      <c r="N110" s="4"/>
    </row>
    <row r="111" spans="1:14" ht="15">
      <c r="A111" s="13">
        <v>44501</v>
      </c>
      <c r="B111" s="66">
        <f>3.2856 * CHOOSE(CONTROL!$C$23, $C$13, 100%, $E$13)</f>
        <v>3.2856000000000001</v>
      </c>
      <c r="C111" s="66">
        <f>3.2856 * CHOOSE(CONTROL!$C$23, $C$13, 100%, $E$13)</f>
        <v>3.2856000000000001</v>
      </c>
      <c r="D111" s="66">
        <f>3.2895 * CHOOSE(CONTROL!$C$23, $C$13, 100%, $E$13)</f>
        <v>3.2894999999999999</v>
      </c>
      <c r="E111" s="67">
        <f>3.8547 * CHOOSE(CONTROL!$C$23, $C$13, 100%, $E$13)</f>
        <v>3.8546999999999998</v>
      </c>
      <c r="F111" s="67">
        <f>3.8547 * CHOOSE(CONTROL!$C$23, $C$13, 100%, $E$13)</f>
        <v>3.8546999999999998</v>
      </c>
      <c r="G111" s="67">
        <f>3.8594 * CHOOSE(CONTROL!$C$23, $C$13, 100%, $E$13)</f>
        <v>3.8593999999999999</v>
      </c>
      <c r="H111" s="67">
        <f>7.1749* CHOOSE(CONTROL!$C$23, $C$13, 100%, $E$13)</f>
        <v>7.1749000000000001</v>
      </c>
      <c r="I111" s="67">
        <f>7.1796 * CHOOSE(CONTROL!$C$23, $C$13, 100%, $E$13)</f>
        <v>7.1795999999999998</v>
      </c>
      <c r="J111" s="67">
        <f>3.8547 * CHOOSE(CONTROL!$C$23, $C$13, 100%, $E$13)</f>
        <v>3.8546999999999998</v>
      </c>
      <c r="K111" s="67">
        <f>3.8594 * CHOOSE(CONTROL!$C$23, $C$13, 100%, $E$13)</f>
        <v>3.8593999999999999</v>
      </c>
      <c r="L111" s="4"/>
      <c r="M111" s="4"/>
      <c r="N111" s="4"/>
    </row>
    <row r="112" spans="1:14" ht="15">
      <c r="A112" s="13">
        <v>44531</v>
      </c>
      <c r="B112" s="66">
        <f>3.2856 * CHOOSE(CONTROL!$C$23, $C$13, 100%, $E$13)</f>
        <v>3.2856000000000001</v>
      </c>
      <c r="C112" s="66">
        <f>3.2856 * CHOOSE(CONTROL!$C$23, $C$13, 100%, $E$13)</f>
        <v>3.2856000000000001</v>
      </c>
      <c r="D112" s="66">
        <f>3.2895 * CHOOSE(CONTROL!$C$23, $C$13, 100%, $E$13)</f>
        <v>3.2894999999999999</v>
      </c>
      <c r="E112" s="67">
        <f>3.8235 * CHOOSE(CONTROL!$C$23, $C$13, 100%, $E$13)</f>
        <v>3.8235000000000001</v>
      </c>
      <c r="F112" s="67">
        <f>3.8235 * CHOOSE(CONTROL!$C$23, $C$13, 100%, $E$13)</f>
        <v>3.8235000000000001</v>
      </c>
      <c r="G112" s="67">
        <f>3.8282 * CHOOSE(CONTROL!$C$23, $C$13, 100%, $E$13)</f>
        <v>3.8281999999999998</v>
      </c>
      <c r="H112" s="67">
        <f>7.1898* CHOOSE(CONTROL!$C$23, $C$13, 100%, $E$13)</f>
        <v>7.1898</v>
      </c>
      <c r="I112" s="67">
        <f>7.1946 * CHOOSE(CONTROL!$C$23, $C$13, 100%, $E$13)</f>
        <v>7.1946000000000003</v>
      </c>
      <c r="J112" s="67">
        <f>3.8235 * CHOOSE(CONTROL!$C$23, $C$13, 100%, $E$13)</f>
        <v>3.8235000000000001</v>
      </c>
      <c r="K112" s="67">
        <f>3.8282 * CHOOSE(CONTROL!$C$23, $C$13, 100%, $E$13)</f>
        <v>3.8281999999999998</v>
      </c>
      <c r="L112" s="4"/>
      <c r="M112" s="4"/>
      <c r="N112" s="4"/>
    </row>
    <row r="113" spans="1:14" ht="15">
      <c r="A113" s="13">
        <v>44562</v>
      </c>
      <c r="B113" s="66">
        <f>3.315 * CHOOSE(CONTROL!$C$23, $C$13, 100%, $E$13)</f>
        <v>3.3149999999999999</v>
      </c>
      <c r="C113" s="66">
        <f>3.315 * CHOOSE(CONTROL!$C$23, $C$13, 100%, $E$13)</f>
        <v>3.3149999999999999</v>
      </c>
      <c r="D113" s="66">
        <f>3.3189 * CHOOSE(CONTROL!$C$23, $C$13, 100%, $E$13)</f>
        <v>3.3189000000000002</v>
      </c>
      <c r="E113" s="67">
        <f>3.9024 * CHOOSE(CONTROL!$C$23, $C$13, 100%, $E$13)</f>
        <v>3.9024000000000001</v>
      </c>
      <c r="F113" s="67">
        <f>3.9024 * CHOOSE(CONTROL!$C$23, $C$13, 100%, $E$13)</f>
        <v>3.9024000000000001</v>
      </c>
      <c r="G113" s="67">
        <f>3.9072 * CHOOSE(CONTROL!$C$23, $C$13, 100%, $E$13)</f>
        <v>3.9072</v>
      </c>
      <c r="H113" s="67">
        <f>7.2048* CHOOSE(CONTROL!$C$23, $C$13, 100%, $E$13)</f>
        <v>7.2047999999999996</v>
      </c>
      <c r="I113" s="67">
        <f>7.2095 * CHOOSE(CONTROL!$C$23, $C$13, 100%, $E$13)</f>
        <v>7.2095000000000002</v>
      </c>
      <c r="J113" s="67">
        <f>3.9024 * CHOOSE(CONTROL!$C$23, $C$13, 100%, $E$13)</f>
        <v>3.9024000000000001</v>
      </c>
      <c r="K113" s="67">
        <f>3.9072 * CHOOSE(CONTROL!$C$23, $C$13, 100%, $E$13)</f>
        <v>3.9072</v>
      </c>
      <c r="L113" s="4"/>
      <c r="M113" s="4"/>
      <c r="N113" s="4"/>
    </row>
    <row r="114" spans="1:14" ht="15">
      <c r="A114" s="13">
        <v>44593</v>
      </c>
      <c r="B114" s="66">
        <f>3.312 * CHOOSE(CONTROL!$C$23, $C$13, 100%, $E$13)</f>
        <v>3.3119999999999998</v>
      </c>
      <c r="C114" s="66">
        <f>3.312 * CHOOSE(CONTROL!$C$23, $C$13, 100%, $E$13)</f>
        <v>3.3119999999999998</v>
      </c>
      <c r="D114" s="66">
        <f>3.3159 * CHOOSE(CONTROL!$C$23, $C$13, 100%, $E$13)</f>
        <v>3.3159000000000001</v>
      </c>
      <c r="E114" s="67">
        <f>3.8381 * CHOOSE(CONTROL!$C$23, $C$13, 100%, $E$13)</f>
        <v>3.8380999999999998</v>
      </c>
      <c r="F114" s="67">
        <f>3.8381 * CHOOSE(CONTROL!$C$23, $C$13, 100%, $E$13)</f>
        <v>3.8380999999999998</v>
      </c>
      <c r="G114" s="67">
        <f>3.8429 * CHOOSE(CONTROL!$C$23, $C$13, 100%, $E$13)</f>
        <v>3.8429000000000002</v>
      </c>
      <c r="H114" s="67">
        <f>7.2198* CHOOSE(CONTROL!$C$23, $C$13, 100%, $E$13)</f>
        <v>7.2198000000000002</v>
      </c>
      <c r="I114" s="67">
        <f>7.2246 * CHOOSE(CONTROL!$C$23, $C$13, 100%, $E$13)</f>
        <v>7.2245999999999997</v>
      </c>
      <c r="J114" s="67">
        <f>3.8381 * CHOOSE(CONTROL!$C$23, $C$13, 100%, $E$13)</f>
        <v>3.8380999999999998</v>
      </c>
      <c r="K114" s="67">
        <f>3.8429 * CHOOSE(CONTROL!$C$23, $C$13, 100%, $E$13)</f>
        <v>3.8429000000000002</v>
      </c>
      <c r="L114" s="4"/>
      <c r="M114" s="4"/>
      <c r="N114" s="4"/>
    </row>
    <row r="115" spans="1:14" ht="15">
      <c r="A115" s="13">
        <v>44621</v>
      </c>
      <c r="B115" s="66">
        <f>3.309 * CHOOSE(CONTROL!$C$23, $C$13, 100%, $E$13)</f>
        <v>3.3090000000000002</v>
      </c>
      <c r="C115" s="66">
        <f>3.309 * CHOOSE(CONTROL!$C$23, $C$13, 100%, $E$13)</f>
        <v>3.3090000000000002</v>
      </c>
      <c r="D115" s="66">
        <f>3.3128 * CHOOSE(CONTROL!$C$23, $C$13, 100%, $E$13)</f>
        <v>3.3128000000000002</v>
      </c>
      <c r="E115" s="67">
        <f>3.885 * CHOOSE(CONTROL!$C$23, $C$13, 100%, $E$13)</f>
        <v>3.8849999999999998</v>
      </c>
      <c r="F115" s="67">
        <f>3.885 * CHOOSE(CONTROL!$C$23, $C$13, 100%, $E$13)</f>
        <v>3.8849999999999998</v>
      </c>
      <c r="G115" s="67">
        <f>3.8898 * CHOOSE(CONTROL!$C$23, $C$13, 100%, $E$13)</f>
        <v>3.8898000000000001</v>
      </c>
      <c r="H115" s="67">
        <f>7.2348* CHOOSE(CONTROL!$C$23, $C$13, 100%, $E$13)</f>
        <v>7.2347999999999999</v>
      </c>
      <c r="I115" s="67">
        <f>7.2396 * CHOOSE(CONTROL!$C$23, $C$13, 100%, $E$13)</f>
        <v>7.2396000000000003</v>
      </c>
      <c r="J115" s="67">
        <f>3.885 * CHOOSE(CONTROL!$C$23, $C$13, 100%, $E$13)</f>
        <v>3.8849999999999998</v>
      </c>
      <c r="K115" s="67">
        <f>3.8898 * CHOOSE(CONTROL!$C$23, $C$13, 100%, $E$13)</f>
        <v>3.8898000000000001</v>
      </c>
      <c r="L115" s="4"/>
      <c r="M115" s="4"/>
      <c r="N115" s="4"/>
    </row>
    <row r="116" spans="1:14" ht="15">
      <c r="A116" s="13">
        <v>44652</v>
      </c>
      <c r="B116" s="66">
        <f>3.3059 * CHOOSE(CONTROL!$C$23, $C$13, 100%, $E$13)</f>
        <v>3.3058999999999998</v>
      </c>
      <c r="C116" s="66">
        <f>3.3059 * CHOOSE(CONTROL!$C$23, $C$13, 100%, $E$13)</f>
        <v>3.3058999999999998</v>
      </c>
      <c r="D116" s="66">
        <f>3.3098 * CHOOSE(CONTROL!$C$23, $C$13, 100%, $E$13)</f>
        <v>3.3098000000000001</v>
      </c>
      <c r="E116" s="67">
        <f>3.9334 * CHOOSE(CONTROL!$C$23, $C$13, 100%, $E$13)</f>
        <v>3.9333999999999998</v>
      </c>
      <c r="F116" s="67">
        <f>3.9334 * CHOOSE(CONTROL!$C$23, $C$13, 100%, $E$13)</f>
        <v>3.9333999999999998</v>
      </c>
      <c r="G116" s="67">
        <f>3.9382 * CHOOSE(CONTROL!$C$23, $C$13, 100%, $E$13)</f>
        <v>3.9382000000000001</v>
      </c>
      <c r="H116" s="67">
        <f>7.2499* CHOOSE(CONTROL!$C$23, $C$13, 100%, $E$13)</f>
        <v>7.2499000000000002</v>
      </c>
      <c r="I116" s="67">
        <f>7.2547 * CHOOSE(CONTROL!$C$23, $C$13, 100%, $E$13)</f>
        <v>7.2546999999999997</v>
      </c>
      <c r="J116" s="67">
        <f>3.9334 * CHOOSE(CONTROL!$C$23, $C$13, 100%, $E$13)</f>
        <v>3.9333999999999998</v>
      </c>
      <c r="K116" s="67">
        <f>3.9382 * CHOOSE(CONTROL!$C$23, $C$13, 100%, $E$13)</f>
        <v>3.9382000000000001</v>
      </c>
      <c r="L116" s="4"/>
      <c r="M116" s="4"/>
      <c r="N116" s="4"/>
    </row>
    <row r="117" spans="1:14" ht="15">
      <c r="A117" s="13">
        <v>44682</v>
      </c>
      <c r="B117" s="66">
        <f>3.3059 * CHOOSE(CONTROL!$C$23, $C$13, 100%, $E$13)</f>
        <v>3.3058999999999998</v>
      </c>
      <c r="C117" s="66">
        <f>3.3059 * CHOOSE(CONTROL!$C$23, $C$13, 100%, $E$13)</f>
        <v>3.3058999999999998</v>
      </c>
      <c r="D117" s="66">
        <f>3.3114 * CHOOSE(CONTROL!$C$23, $C$13, 100%, $E$13)</f>
        <v>3.3113999999999999</v>
      </c>
      <c r="E117" s="67">
        <f>3.9531 * CHOOSE(CONTROL!$C$23, $C$13, 100%, $E$13)</f>
        <v>3.9531000000000001</v>
      </c>
      <c r="F117" s="67">
        <f>3.9531 * CHOOSE(CONTROL!$C$23, $C$13, 100%, $E$13)</f>
        <v>3.9531000000000001</v>
      </c>
      <c r="G117" s="67">
        <f>3.9599 * CHOOSE(CONTROL!$C$23, $C$13, 100%, $E$13)</f>
        <v>3.9599000000000002</v>
      </c>
      <c r="H117" s="67">
        <f>7.265* CHOOSE(CONTROL!$C$23, $C$13, 100%, $E$13)</f>
        <v>7.2649999999999997</v>
      </c>
      <c r="I117" s="67">
        <f>7.2717 * CHOOSE(CONTROL!$C$23, $C$13, 100%, $E$13)</f>
        <v>7.2717000000000001</v>
      </c>
      <c r="J117" s="67">
        <f>3.9531 * CHOOSE(CONTROL!$C$23, $C$13, 100%, $E$13)</f>
        <v>3.9531000000000001</v>
      </c>
      <c r="K117" s="67">
        <f>3.9599 * CHOOSE(CONTROL!$C$23, $C$13, 100%, $E$13)</f>
        <v>3.9599000000000002</v>
      </c>
      <c r="L117" s="4"/>
      <c r="M117" s="4"/>
      <c r="N117" s="4"/>
    </row>
    <row r="118" spans="1:14" ht="15">
      <c r="A118" s="13">
        <v>44713</v>
      </c>
      <c r="B118" s="66">
        <f>3.312 * CHOOSE(CONTROL!$C$23, $C$13, 100%, $E$13)</f>
        <v>3.3119999999999998</v>
      </c>
      <c r="C118" s="66">
        <f>3.312 * CHOOSE(CONTROL!$C$23, $C$13, 100%, $E$13)</f>
        <v>3.3119999999999998</v>
      </c>
      <c r="D118" s="66">
        <f>3.3175 * CHOOSE(CONTROL!$C$23, $C$13, 100%, $E$13)</f>
        <v>3.3174999999999999</v>
      </c>
      <c r="E118" s="67">
        <f>3.9376 * CHOOSE(CONTROL!$C$23, $C$13, 100%, $E$13)</f>
        <v>3.9376000000000002</v>
      </c>
      <c r="F118" s="67">
        <f>3.9376 * CHOOSE(CONTROL!$C$23, $C$13, 100%, $E$13)</f>
        <v>3.9376000000000002</v>
      </c>
      <c r="G118" s="67">
        <f>3.9444 * CHOOSE(CONTROL!$C$23, $C$13, 100%, $E$13)</f>
        <v>3.9443999999999999</v>
      </c>
      <c r="H118" s="67">
        <f>7.2801* CHOOSE(CONTROL!$C$23, $C$13, 100%, $E$13)</f>
        <v>7.2801</v>
      </c>
      <c r="I118" s="67">
        <f>7.2869 * CHOOSE(CONTROL!$C$23, $C$13, 100%, $E$13)</f>
        <v>7.2869000000000002</v>
      </c>
      <c r="J118" s="67">
        <f>3.9376 * CHOOSE(CONTROL!$C$23, $C$13, 100%, $E$13)</f>
        <v>3.9376000000000002</v>
      </c>
      <c r="K118" s="67">
        <f>3.9444 * CHOOSE(CONTROL!$C$23, $C$13, 100%, $E$13)</f>
        <v>3.9443999999999999</v>
      </c>
      <c r="L118" s="4"/>
      <c r="M118" s="4"/>
      <c r="N118" s="4"/>
    </row>
    <row r="119" spans="1:14" ht="15">
      <c r="A119" s="13">
        <v>44743</v>
      </c>
      <c r="B119" s="66">
        <f>3.3675 * CHOOSE(CONTROL!$C$23, $C$13, 100%, $E$13)</f>
        <v>3.3675000000000002</v>
      </c>
      <c r="C119" s="66">
        <f>3.3675 * CHOOSE(CONTROL!$C$23, $C$13, 100%, $E$13)</f>
        <v>3.3675000000000002</v>
      </c>
      <c r="D119" s="66">
        <f>3.373 * CHOOSE(CONTROL!$C$23, $C$13, 100%, $E$13)</f>
        <v>3.3730000000000002</v>
      </c>
      <c r="E119" s="67">
        <f>4.0252 * CHOOSE(CONTROL!$C$23, $C$13, 100%, $E$13)</f>
        <v>4.0251999999999999</v>
      </c>
      <c r="F119" s="67">
        <f>4.0252 * CHOOSE(CONTROL!$C$23, $C$13, 100%, $E$13)</f>
        <v>4.0251999999999999</v>
      </c>
      <c r="G119" s="67">
        <f>4.0319 * CHOOSE(CONTROL!$C$23, $C$13, 100%, $E$13)</f>
        <v>4.0319000000000003</v>
      </c>
      <c r="H119" s="67">
        <f>7.2953* CHOOSE(CONTROL!$C$23, $C$13, 100%, $E$13)</f>
        <v>7.2953000000000001</v>
      </c>
      <c r="I119" s="67">
        <f>7.302 * CHOOSE(CONTROL!$C$23, $C$13, 100%, $E$13)</f>
        <v>7.3019999999999996</v>
      </c>
      <c r="J119" s="67">
        <f>4.0252 * CHOOSE(CONTROL!$C$23, $C$13, 100%, $E$13)</f>
        <v>4.0251999999999999</v>
      </c>
      <c r="K119" s="67">
        <f>4.0319 * CHOOSE(CONTROL!$C$23, $C$13, 100%, $E$13)</f>
        <v>4.0319000000000003</v>
      </c>
      <c r="L119" s="4"/>
      <c r="M119" s="4"/>
      <c r="N119" s="4"/>
    </row>
    <row r="120" spans="1:14" ht="15">
      <c r="A120" s="13">
        <v>44774</v>
      </c>
      <c r="B120" s="66">
        <f>3.3742 * CHOOSE(CONTROL!$C$23, $C$13, 100%, $E$13)</f>
        <v>3.3742000000000001</v>
      </c>
      <c r="C120" s="66">
        <f>3.3742 * CHOOSE(CONTROL!$C$23, $C$13, 100%, $E$13)</f>
        <v>3.3742000000000001</v>
      </c>
      <c r="D120" s="66">
        <f>3.3797 * CHOOSE(CONTROL!$C$23, $C$13, 100%, $E$13)</f>
        <v>3.3797000000000001</v>
      </c>
      <c r="E120" s="67">
        <f>3.9706 * CHOOSE(CONTROL!$C$23, $C$13, 100%, $E$13)</f>
        <v>3.9706000000000001</v>
      </c>
      <c r="F120" s="67">
        <f>3.9706 * CHOOSE(CONTROL!$C$23, $C$13, 100%, $E$13)</f>
        <v>3.9706000000000001</v>
      </c>
      <c r="G120" s="67">
        <f>3.9774 * CHOOSE(CONTROL!$C$23, $C$13, 100%, $E$13)</f>
        <v>3.9773999999999998</v>
      </c>
      <c r="H120" s="67">
        <f>7.3105* CHOOSE(CONTROL!$C$23, $C$13, 100%, $E$13)</f>
        <v>7.3105000000000002</v>
      </c>
      <c r="I120" s="67">
        <f>7.3172 * CHOOSE(CONTROL!$C$23, $C$13, 100%, $E$13)</f>
        <v>7.3171999999999997</v>
      </c>
      <c r="J120" s="67">
        <f>3.9706 * CHOOSE(CONTROL!$C$23, $C$13, 100%, $E$13)</f>
        <v>3.9706000000000001</v>
      </c>
      <c r="K120" s="67">
        <f>3.9774 * CHOOSE(CONTROL!$C$23, $C$13, 100%, $E$13)</f>
        <v>3.9773999999999998</v>
      </c>
      <c r="L120" s="4"/>
      <c r="M120" s="4"/>
      <c r="N120" s="4"/>
    </row>
    <row r="121" spans="1:14" ht="15">
      <c r="A121" s="13">
        <v>44805</v>
      </c>
      <c r="B121" s="66">
        <f>3.3711 * CHOOSE(CONTROL!$C$23, $C$13, 100%, $E$13)</f>
        <v>3.3711000000000002</v>
      </c>
      <c r="C121" s="66">
        <f>3.3711 * CHOOSE(CONTROL!$C$23, $C$13, 100%, $E$13)</f>
        <v>3.3711000000000002</v>
      </c>
      <c r="D121" s="66">
        <f>3.3766 * CHOOSE(CONTROL!$C$23, $C$13, 100%, $E$13)</f>
        <v>3.3765999999999998</v>
      </c>
      <c r="E121" s="67">
        <f>3.9619 * CHOOSE(CONTROL!$C$23, $C$13, 100%, $E$13)</f>
        <v>3.9619</v>
      </c>
      <c r="F121" s="67">
        <f>3.9619 * CHOOSE(CONTROL!$C$23, $C$13, 100%, $E$13)</f>
        <v>3.9619</v>
      </c>
      <c r="G121" s="67">
        <f>3.9687 * CHOOSE(CONTROL!$C$23, $C$13, 100%, $E$13)</f>
        <v>3.9687000000000001</v>
      </c>
      <c r="H121" s="67">
        <f>7.3257* CHOOSE(CONTROL!$C$23, $C$13, 100%, $E$13)</f>
        <v>7.3257000000000003</v>
      </c>
      <c r="I121" s="67">
        <f>7.3325 * CHOOSE(CONTROL!$C$23, $C$13, 100%, $E$13)</f>
        <v>7.3324999999999996</v>
      </c>
      <c r="J121" s="67">
        <f>3.9619 * CHOOSE(CONTROL!$C$23, $C$13, 100%, $E$13)</f>
        <v>3.9619</v>
      </c>
      <c r="K121" s="67">
        <f>3.9687 * CHOOSE(CONTROL!$C$23, $C$13, 100%, $E$13)</f>
        <v>3.9687000000000001</v>
      </c>
      <c r="L121" s="4"/>
      <c r="M121" s="4"/>
      <c r="N121" s="4"/>
    </row>
    <row r="122" spans="1:14" ht="15">
      <c r="A122" s="13">
        <v>44835</v>
      </c>
      <c r="B122" s="66">
        <f>3.3637 * CHOOSE(CONTROL!$C$23, $C$13, 100%, $E$13)</f>
        <v>3.3637000000000001</v>
      </c>
      <c r="C122" s="66">
        <f>3.3637 * CHOOSE(CONTROL!$C$23, $C$13, 100%, $E$13)</f>
        <v>3.3637000000000001</v>
      </c>
      <c r="D122" s="66">
        <f>3.3675 * CHOOSE(CONTROL!$C$23, $C$13, 100%, $E$13)</f>
        <v>3.3675000000000002</v>
      </c>
      <c r="E122" s="67">
        <f>3.9748 * CHOOSE(CONTROL!$C$23, $C$13, 100%, $E$13)</f>
        <v>3.9748000000000001</v>
      </c>
      <c r="F122" s="67">
        <f>3.9748 * CHOOSE(CONTROL!$C$23, $C$13, 100%, $E$13)</f>
        <v>3.9748000000000001</v>
      </c>
      <c r="G122" s="67">
        <f>3.9796 * CHOOSE(CONTROL!$C$23, $C$13, 100%, $E$13)</f>
        <v>3.9796</v>
      </c>
      <c r="H122" s="67">
        <f>7.341* CHOOSE(CONTROL!$C$23, $C$13, 100%, $E$13)</f>
        <v>7.3410000000000002</v>
      </c>
      <c r="I122" s="67">
        <f>7.3458 * CHOOSE(CONTROL!$C$23, $C$13, 100%, $E$13)</f>
        <v>7.3457999999999997</v>
      </c>
      <c r="J122" s="67">
        <f>3.9748 * CHOOSE(CONTROL!$C$23, $C$13, 100%, $E$13)</f>
        <v>3.9748000000000001</v>
      </c>
      <c r="K122" s="67">
        <f>3.9796 * CHOOSE(CONTROL!$C$23, $C$13, 100%, $E$13)</f>
        <v>3.9796</v>
      </c>
      <c r="L122" s="4"/>
      <c r="M122" s="4"/>
      <c r="N122" s="4"/>
    </row>
    <row r="123" spans="1:14" ht="15">
      <c r="A123" s="13">
        <v>44866</v>
      </c>
      <c r="B123" s="66">
        <f>3.3667 * CHOOSE(CONTROL!$C$23, $C$13, 100%, $E$13)</f>
        <v>3.3666999999999998</v>
      </c>
      <c r="C123" s="66">
        <f>3.3667 * CHOOSE(CONTROL!$C$23, $C$13, 100%, $E$13)</f>
        <v>3.3666999999999998</v>
      </c>
      <c r="D123" s="66">
        <f>3.3706 * CHOOSE(CONTROL!$C$23, $C$13, 100%, $E$13)</f>
        <v>3.3706</v>
      </c>
      <c r="E123" s="67">
        <f>3.9901 * CHOOSE(CONTROL!$C$23, $C$13, 100%, $E$13)</f>
        <v>3.9901</v>
      </c>
      <c r="F123" s="67">
        <f>3.9901 * CHOOSE(CONTROL!$C$23, $C$13, 100%, $E$13)</f>
        <v>3.9901</v>
      </c>
      <c r="G123" s="67">
        <f>3.9949 * CHOOSE(CONTROL!$C$23, $C$13, 100%, $E$13)</f>
        <v>3.9948999999999999</v>
      </c>
      <c r="H123" s="67">
        <f>7.3563* CHOOSE(CONTROL!$C$23, $C$13, 100%, $E$13)</f>
        <v>7.3563000000000001</v>
      </c>
      <c r="I123" s="67">
        <f>7.3611 * CHOOSE(CONTROL!$C$23, $C$13, 100%, $E$13)</f>
        <v>7.3611000000000004</v>
      </c>
      <c r="J123" s="67">
        <f>3.9901 * CHOOSE(CONTROL!$C$23, $C$13, 100%, $E$13)</f>
        <v>3.9901</v>
      </c>
      <c r="K123" s="67">
        <f>3.9949 * CHOOSE(CONTROL!$C$23, $C$13, 100%, $E$13)</f>
        <v>3.9948999999999999</v>
      </c>
      <c r="L123" s="4"/>
      <c r="M123" s="4"/>
      <c r="N123" s="4"/>
    </row>
    <row r="124" spans="1:14" ht="15">
      <c r="A124" s="13">
        <v>44896</v>
      </c>
      <c r="B124" s="66">
        <f>3.3667 * CHOOSE(CONTROL!$C$23, $C$13, 100%, $E$13)</f>
        <v>3.3666999999999998</v>
      </c>
      <c r="C124" s="66">
        <f>3.3667 * CHOOSE(CONTROL!$C$23, $C$13, 100%, $E$13)</f>
        <v>3.3666999999999998</v>
      </c>
      <c r="D124" s="66">
        <f>3.3706 * CHOOSE(CONTROL!$C$23, $C$13, 100%, $E$13)</f>
        <v>3.3706</v>
      </c>
      <c r="E124" s="67">
        <f>3.9572 * CHOOSE(CONTROL!$C$23, $C$13, 100%, $E$13)</f>
        <v>3.9571999999999998</v>
      </c>
      <c r="F124" s="67">
        <f>3.9572 * CHOOSE(CONTROL!$C$23, $C$13, 100%, $E$13)</f>
        <v>3.9571999999999998</v>
      </c>
      <c r="G124" s="67">
        <f>3.962 * CHOOSE(CONTROL!$C$23, $C$13, 100%, $E$13)</f>
        <v>3.9620000000000002</v>
      </c>
      <c r="H124" s="67">
        <f>7.3716* CHOOSE(CONTROL!$C$23, $C$13, 100%, $E$13)</f>
        <v>7.3715999999999999</v>
      </c>
      <c r="I124" s="67">
        <f>7.3764 * CHOOSE(CONTROL!$C$23, $C$13, 100%, $E$13)</f>
        <v>7.3764000000000003</v>
      </c>
      <c r="J124" s="67">
        <f>3.9572 * CHOOSE(CONTROL!$C$23, $C$13, 100%, $E$13)</f>
        <v>3.9571999999999998</v>
      </c>
      <c r="K124" s="67">
        <f>3.962 * CHOOSE(CONTROL!$C$23, $C$13, 100%, $E$13)</f>
        <v>3.9620000000000002</v>
      </c>
      <c r="L124" s="4"/>
      <c r="M124" s="4"/>
      <c r="N124" s="4"/>
    </row>
    <row r="125" spans="1:14" ht="15">
      <c r="A125" s="13">
        <v>44927</v>
      </c>
      <c r="B125" s="66">
        <f>3.3924 * CHOOSE(CONTROL!$C$23, $C$13, 100%, $E$13)</f>
        <v>3.3923999999999999</v>
      </c>
      <c r="C125" s="66">
        <f>3.3924 * CHOOSE(CONTROL!$C$23, $C$13, 100%, $E$13)</f>
        <v>3.3923999999999999</v>
      </c>
      <c r="D125" s="66">
        <f>3.3963 * CHOOSE(CONTROL!$C$23, $C$13, 100%, $E$13)</f>
        <v>3.3963000000000001</v>
      </c>
      <c r="E125" s="67">
        <f>4.0337 * CHOOSE(CONTROL!$C$23, $C$13, 100%, $E$13)</f>
        <v>4.0336999999999996</v>
      </c>
      <c r="F125" s="67">
        <f>4.0337 * CHOOSE(CONTROL!$C$23, $C$13, 100%, $E$13)</f>
        <v>4.0336999999999996</v>
      </c>
      <c r="G125" s="67">
        <f>4.0385 * CHOOSE(CONTROL!$C$23, $C$13, 100%, $E$13)</f>
        <v>4.0385</v>
      </c>
      <c r="H125" s="67">
        <f>7.387* CHOOSE(CONTROL!$C$23, $C$13, 100%, $E$13)</f>
        <v>7.3869999999999996</v>
      </c>
      <c r="I125" s="67">
        <f>7.3917 * CHOOSE(CONTROL!$C$23, $C$13, 100%, $E$13)</f>
        <v>7.3917000000000002</v>
      </c>
      <c r="J125" s="67">
        <f>4.0337 * CHOOSE(CONTROL!$C$23, $C$13, 100%, $E$13)</f>
        <v>4.0336999999999996</v>
      </c>
      <c r="K125" s="67">
        <f>4.0385 * CHOOSE(CONTROL!$C$23, $C$13, 100%, $E$13)</f>
        <v>4.0385</v>
      </c>
      <c r="L125" s="4"/>
      <c r="M125" s="4"/>
      <c r="N125" s="4"/>
    </row>
    <row r="126" spans="1:14" ht="15">
      <c r="A126" s="13">
        <v>44958</v>
      </c>
      <c r="B126" s="66">
        <f>3.3894 * CHOOSE(CONTROL!$C$23, $C$13, 100%, $E$13)</f>
        <v>3.3894000000000002</v>
      </c>
      <c r="C126" s="66">
        <f>3.3894 * CHOOSE(CONTROL!$C$23, $C$13, 100%, $E$13)</f>
        <v>3.3894000000000002</v>
      </c>
      <c r="D126" s="66">
        <f>3.3932 * CHOOSE(CONTROL!$C$23, $C$13, 100%, $E$13)</f>
        <v>3.3932000000000002</v>
      </c>
      <c r="E126" s="67">
        <f>3.9661 * CHOOSE(CONTROL!$C$23, $C$13, 100%, $E$13)</f>
        <v>3.9661</v>
      </c>
      <c r="F126" s="67">
        <f>3.9661 * CHOOSE(CONTROL!$C$23, $C$13, 100%, $E$13)</f>
        <v>3.9661</v>
      </c>
      <c r="G126" s="67">
        <f>3.9709 * CHOOSE(CONTROL!$C$23, $C$13, 100%, $E$13)</f>
        <v>3.9708999999999999</v>
      </c>
      <c r="H126" s="67">
        <f>7.4024* CHOOSE(CONTROL!$C$23, $C$13, 100%, $E$13)</f>
        <v>7.4024000000000001</v>
      </c>
      <c r="I126" s="67">
        <f>7.4071 * CHOOSE(CONTROL!$C$23, $C$13, 100%, $E$13)</f>
        <v>7.4070999999999998</v>
      </c>
      <c r="J126" s="67">
        <f>3.9661 * CHOOSE(CONTROL!$C$23, $C$13, 100%, $E$13)</f>
        <v>3.9661</v>
      </c>
      <c r="K126" s="67">
        <f>3.9709 * CHOOSE(CONTROL!$C$23, $C$13, 100%, $E$13)</f>
        <v>3.9708999999999999</v>
      </c>
      <c r="L126" s="4"/>
      <c r="M126" s="4"/>
      <c r="N126" s="4"/>
    </row>
    <row r="127" spans="1:14" ht="15">
      <c r="A127" s="13">
        <v>44986</v>
      </c>
      <c r="B127" s="66">
        <f>3.3863 * CHOOSE(CONTROL!$C$23, $C$13, 100%, $E$13)</f>
        <v>3.3862999999999999</v>
      </c>
      <c r="C127" s="66">
        <f>3.3863 * CHOOSE(CONTROL!$C$23, $C$13, 100%, $E$13)</f>
        <v>3.3862999999999999</v>
      </c>
      <c r="D127" s="66">
        <f>3.3902 * CHOOSE(CONTROL!$C$23, $C$13, 100%, $E$13)</f>
        <v>3.3902000000000001</v>
      </c>
      <c r="E127" s="67">
        <f>4.0156 * CHOOSE(CONTROL!$C$23, $C$13, 100%, $E$13)</f>
        <v>4.0156000000000001</v>
      </c>
      <c r="F127" s="67">
        <f>4.0156 * CHOOSE(CONTROL!$C$23, $C$13, 100%, $E$13)</f>
        <v>4.0156000000000001</v>
      </c>
      <c r="G127" s="67">
        <f>4.0204 * CHOOSE(CONTROL!$C$23, $C$13, 100%, $E$13)</f>
        <v>4.0204000000000004</v>
      </c>
      <c r="H127" s="67">
        <f>7.4178* CHOOSE(CONTROL!$C$23, $C$13, 100%, $E$13)</f>
        <v>7.4177999999999997</v>
      </c>
      <c r="I127" s="67">
        <f>7.4226 * CHOOSE(CONTROL!$C$23, $C$13, 100%, $E$13)</f>
        <v>7.4226000000000001</v>
      </c>
      <c r="J127" s="67">
        <f>4.0156 * CHOOSE(CONTROL!$C$23, $C$13, 100%, $E$13)</f>
        <v>4.0156000000000001</v>
      </c>
      <c r="K127" s="67">
        <f>4.0204 * CHOOSE(CONTROL!$C$23, $C$13, 100%, $E$13)</f>
        <v>4.0204000000000004</v>
      </c>
      <c r="L127" s="4"/>
      <c r="M127" s="4"/>
      <c r="N127" s="4"/>
    </row>
    <row r="128" spans="1:14" ht="15">
      <c r="A128" s="13">
        <v>45017</v>
      </c>
      <c r="B128" s="66">
        <f>3.3833 * CHOOSE(CONTROL!$C$23, $C$13, 100%, $E$13)</f>
        <v>3.3833000000000002</v>
      </c>
      <c r="C128" s="66">
        <f>3.3833 * CHOOSE(CONTROL!$C$23, $C$13, 100%, $E$13)</f>
        <v>3.3833000000000002</v>
      </c>
      <c r="D128" s="66">
        <f>3.3872 * CHOOSE(CONTROL!$C$23, $C$13, 100%, $E$13)</f>
        <v>3.3872</v>
      </c>
      <c r="E128" s="67">
        <f>4.0669 * CHOOSE(CONTROL!$C$23, $C$13, 100%, $E$13)</f>
        <v>4.0669000000000004</v>
      </c>
      <c r="F128" s="67">
        <f>4.0669 * CHOOSE(CONTROL!$C$23, $C$13, 100%, $E$13)</f>
        <v>4.0669000000000004</v>
      </c>
      <c r="G128" s="67">
        <f>4.0716 * CHOOSE(CONTROL!$C$23, $C$13, 100%, $E$13)</f>
        <v>4.0716000000000001</v>
      </c>
      <c r="H128" s="67">
        <f>7.4332* CHOOSE(CONTROL!$C$23, $C$13, 100%, $E$13)</f>
        <v>7.4332000000000003</v>
      </c>
      <c r="I128" s="67">
        <f>7.438 * CHOOSE(CONTROL!$C$23, $C$13, 100%, $E$13)</f>
        <v>7.4379999999999997</v>
      </c>
      <c r="J128" s="67">
        <f>4.0669 * CHOOSE(CONTROL!$C$23, $C$13, 100%, $E$13)</f>
        <v>4.0669000000000004</v>
      </c>
      <c r="K128" s="67">
        <f>4.0716 * CHOOSE(CONTROL!$C$23, $C$13, 100%, $E$13)</f>
        <v>4.0716000000000001</v>
      </c>
      <c r="L128" s="4"/>
      <c r="M128" s="4"/>
      <c r="N128" s="4"/>
    </row>
    <row r="129" spans="1:14" ht="15">
      <c r="A129" s="13">
        <v>45047</v>
      </c>
      <c r="B129" s="66">
        <f>3.3833 * CHOOSE(CONTROL!$C$23, $C$13, 100%, $E$13)</f>
        <v>3.3833000000000002</v>
      </c>
      <c r="C129" s="66">
        <f>3.3833 * CHOOSE(CONTROL!$C$23, $C$13, 100%, $E$13)</f>
        <v>3.3833000000000002</v>
      </c>
      <c r="D129" s="66">
        <f>3.3888 * CHOOSE(CONTROL!$C$23, $C$13, 100%, $E$13)</f>
        <v>3.3887999999999998</v>
      </c>
      <c r="E129" s="67">
        <f>4.0877 * CHOOSE(CONTROL!$C$23, $C$13, 100%, $E$13)</f>
        <v>4.0876999999999999</v>
      </c>
      <c r="F129" s="67">
        <f>4.0877 * CHOOSE(CONTROL!$C$23, $C$13, 100%, $E$13)</f>
        <v>4.0876999999999999</v>
      </c>
      <c r="G129" s="67">
        <f>4.0944 * CHOOSE(CONTROL!$C$23, $C$13, 100%, $E$13)</f>
        <v>4.0944000000000003</v>
      </c>
      <c r="H129" s="67">
        <f>7.4487* CHOOSE(CONTROL!$C$23, $C$13, 100%, $E$13)</f>
        <v>7.4486999999999997</v>
      </c>
      <c r="I129" s="67">
        <f>7.4555 * CHOOSE(CONTROL!$C$23, $C$13, 100%, $E$13)</f>
        <v>7.4554999999999998</v>
      </c>
      <c r="J129" s="67">
        <f>4.0877 * CHOOSE(CONTROL!$C$23, $C$13, 100%, $E$13)</f>
        <v>4.0876999999999999</v>
      </c>
      <c r="K129" s="67">
        <f>4.0944 * CHOOSE(CONTROL!$C$23, $C$13, 100%, $E$13)</f>
        <v>4.0944000000000003</v>
      </c>
      <c r="L129" s="4"/>
      <c r="M129" s="4"/>
      <c r="N129" s="4"/>
    </row>
    <row r="130" spans="1:14" ht="15">
      <c r="A130" s="13">
        <v>45078</v>
      </c>
      <c r="B130" s="66">
        <f>3.3894 * CHOOSE(CONTROL!$C$23, $C$13, 100%, $E$13)</f>
        <v>3.3894000000000002</v>
      </c>
      <c r="C130" s="66">
        <f>3.3894 * CHOOSE(CONTROL!$C$23, $C$13, 100%, $E$13)</f>
        <v>3.3894000000000002</v>
      </c>
      <c r="D130" s="66">
        <f>3.3949 * CHOOSE(CONTROL!$C$23, $C$13, 100%, $E$13)</f>
        <v>3.3948999999999998</v>
      </c>
      <c r="E130" s="67">
        <f>4.0711 * CHOOSE(CONTROL!$C$23, $C$13, 100%, $E$13)</f>
        <v>4.0711000000000004</v>
      </c>
      <c r="F130" s="67">
        <f>4.0711 * CHOOSE(CONTROL!$C$23, $C$13, 100%, $E$13)</f>
        <v>4.0711000000000004</v>
      </c>
      <c r="G130" s="67">
        <f>4.0779 * CHOOSE(CONTROL!$C$23, $C$13, 100%, $E$13)</f>
        <v>4.0778999999999996</v>
      </c>
      <c r="H130" s="67">
        <f>7.4642* CHOOSE(CONTROL!$C$23, $C$13, 100%, $E$13)</f>
        <v>7.4641999999999999</v>
      </c>
      <c r="I130" s="67">
        <f>7.471 * CHOOSE(CONTROL!$C$23, $C$13, 100%, $E$13)</f>
        <v>7.4710000000000001</v>
      </c>
      <c r="J130" s="67">
        <f>4.0711 * CHOOSE(CONTROL!$C$23, $C$13, 100%, $E$13)</f>
        <v>4.0711000000000004</v>
      </c>
      <c r="K130" s="67">
        <f>4.0779 * CHOOSE(CONTROL!$C$23, $C$13, 100%, $E$13)</f>
        <v>4.0778999999999996</v>
      </c>
      <c r="L130" s="4"/>
      <c r="M130" s="4"/>
      <c r="N130" s="4"/>
    </row>
    <row r="131" spans="1:14" ht="15">
      <c r="A131" s="13">
        <v>45108</v>
      </c>
      <c r="B131" s="66">
        <f>3.4356 * CHOOSE(CONTROL!$C$23, $C$13, 100%, $E$13)</f>
        <v>3.4356</v>
      </c>
      <c r="C131" s="66">
        <f>3.4356 * CHOOSE(CONTROL!$C$23, $C$13, 100%, $E$13)</f>
        <v>3.4356</v>
      </c>
      <c r="D131" s="66">
        <f>3.4412 * CHOOSE(CONTROL!$C$23, $C$13, 100%, $E$13)</f>
        <v>3.4411999999999998</v>
      </c>
      <c r="E131" s="67">
        <f>4.1492 * CHOOSE(CONTROL!$C$23, $C$13, 100%, $E$13)</f>
        <v>4.1492000000000004</v>
      </c>
      <c r="F131" s="67">
        <f>4.1492 * CHOOSE(CONTROL!$C$23, $C$13, 100%, $E$13)</f>
        <v>4.1492000000000004</v>
      </c>
      <c r="G131" s="67">
        <f>4.156 * CHOOSE(CONTROL!$C$23, $C$13, 100%, $E$13)</f>
        <v>4.1559999999999997</v>
      </c>
      <c r="H131" s="67">
        <f>7.4798* CHOOSE(CONTROL!$C$23, $C$13, 100%, $E$13)</f>
        <v>7.4798</v>
      </c>
      <c r="I131" s="67">
        <f>7.4865 * CHOOSE(CONTROL!$C$23, $C$13, 100%, $E$13)</f>
        <v>7.4865000000000004</v>
      </c>
      <c r="J131" s="67">
        <f>4.1492 * CHOOSE(CONTROL!$C$23, $C$13, 100%, $E$13)</f>
        <v>4.1492000000000004</v>
      </c>
      <c r="K131" s="67">
        <f>4.156 * CHOOSE(CONTROL!$C$23, $C$13, 100%, $E$13)</f>
        <v>4.1559999999999997</v>
      </c>
      <c r="L131" s="4"/>
      <c r="M131" s="4"/>
      <c r="N131" s="4"/>
    </row>
    <row r="132" spans="1:14" ht="15">
      <c r="A132" s="13">
        <v>45139</v>
      </c>
      <c r="B132" s="66">
        <f>3.4423 * CHOOSE(CONTROL!$C$23, $C$13, 100%, $E$13)</f>
        <v>3.4422999999999999</v>
      </c>
      <c r="C132" s="66">
        <f>3.4423 * CHOOSE(CONTROL!$C$23, $C$13, 100%, $E$13)</f>
        <v>3.4422999999999999</v>
      </c>
      <c r="D132" s="66">
        <f>3.4478 * CHOOSE(CONTROL!$C$23, $C$13, 100%, $E$13)</f>
        <v>3.4478</v>
      </c>
      <c r="E132" s="67">
        <f>4.0915 * CHOOSE(CONTROL!$C$23, $C$13, 100%, $E$13)</f>
        <v>4.0914999999999999</v>
      </c>
      <c r="F132" s="67">
        <f>4.0915 * CHOOSE(CONTROL!$C$23, $C$13, 100%, $E$13)</f>
        <v>4.0914999999999999</v>
      </c>
      <c r="G132" s="67">
        <f>4.0982 * CHOOSE(CONTROL!$C$23, $C$13, 100%, $E$13)</f>
        <v>4.0982000000000003</v>
      </c>
      <c r="H132" s="67">
        <f>7.4954* CHOOSE(CONTROL!$C$23, $C$13, 100%, $E$13)</f>
        <v>7.4954000000000001</v>
      </c>
      <c r="I132" s="67">
        <f>7.5021 * CHOOSE(CONTROL!$C$23, $C$13, 100%, $E$13)</f>
        <v>7.5021000000000004</v>
      </c>
      <c r="J132" s="67">
        <f>4.0915 * CHOOSE(CONTROL!$C$23, $C$13, 100%, $E$13)</f>
        <v>4.0914999999999999</v>
      </c>
      <c r="K132" s="67">
        <f>4.0982 * CHOOSE(CONTROL!$C$23, $C$13, 100%, $E$13)</f>
        <v>4.0982000000000003</v>
      </c>
      <c r="L132" s="4"/>
      <c r="M132" s="4"/>
      <c r="N132" s="4"/>
    </row>
    <row r="133" spans="1:14" ht="15">
      <c r="A133" s="13">
        <v>45170</v>
      </c>
      <c r="B133" s="66">
        <f>3.4393 * CHOOSE(CONTROL!$C$23, $C$13, 100%, $E$13)</f>
        <v>3.4392999999999998</v>
      </c>
      <c r="C133" s="66">
        <f>3.4393 * CHOOSE(CONTROL!$C$23, $C$13, 100%, $E$13)</f>
        <v>3.4392999999999998</v>
      </c>
      <c r="D133" s="66">
        <f>3.4448 * CHOOSE(CONTROL!$C$23, $C$13, 100%, $E$13)</f>
        <v>3.4447999999999999</v>
      </c>
      <c r="E133" s="67">
        <f>4.0824 * CHOOSE(CONTROL!$C$23, $C$13, 100%, $E$13)</f>
        <v>4.0823999999999998</v>
      </c>
      <c r="F133" s="67">
        <f>4.0824 * CHOOSE(CONTROL!$C$23, $C$13, 100%, $E$13)</f>
        <v>4.0823999999999998</v>
      </c>
      <c r="G133" s="67">
        <f>4.0892 * CHOOSE(CONTROL!$C$23, $C$13, 100%, $E$13)</f>
        <v>4.0891999999999999</v>
      </c>
      <c r="H133" s="67">
        <f>7.511* CHOOSE(CONTROL!$C$23, $C$13, 100%, $E$13)</f>
        <v>7.5110000000000001</v>
      </c>
      <c r="I133" s="67">
        <f>7.5177 * CHOOSE(CONTROL!$C$23, $C$13, 100%, $E$13)</f>
        <v>7.5176999999999996</v>
      </c>
      <c r="J133" s="67">
        <f>4.0824 * CHOOSE(CONTROL!$C$23, $C$13, 100%, $E$13)</f>
        <v>4.0823999999999998</v>
      </c>
      <c r="K133" s="67">
        <f>4.0892 * CHOOSE(CONTROL!$C$23, $C$13, 100%, $E$13)</f>
        <v>4.0891999999999999</v>
      </c>
      <c r="L133" s="4"/>
      <c r="M133" s="4"/>
      <c r="N133" s="4"/>
    </row>
    <row r="134" spans="1:14" ht="15">
      <c r="A134" s="13">
        <v>45200</v>
      </c>
      <c r="B134" s="66">
        <f>3.4321 * CHOOSE(CONTROL!$C$23, $C$13, 100%, $E$13)</f>
        <v>3.4321000000000002</v>
      </c>
      <c r="C134" s="66">
        <f>3.4321 * CHOOSE(CONTROL!$C$23, $C$13, 100%, $E$13)</f>
        <v>3.4321000000000002</v>
      </c>
      <c r="D134" s="66">
        <f>3.436 * CHOOSE(CONTROL!$C$23, $C$13, 100%, $E$13)</f>
        <v>3.4359999999999999</v>
      </c>
      <c r="E134" s="67">
        <f>4.0968 * CHOOSE(CONTROL!$C$23, $C$13, 100%, $E$13)</f>
        <v>4.0968</v>
      </c>
      <c r="F134" s="67">
        <f>4.0968 * CHOOSE(CONTROL!$C$23, $C$13, 100%, $E$13)</f>
        <v>4.0968</v>
      </c>
      <c r="G134" s="67">
        <f>4.1015 * CHOOSE(CONTROL!$C$23, $C$13, 100%, $E$13)</f>
        <v>4.1014999999999997</v>
      </c>
      <c r="H134" s="67">
        <f>7.5266* CHOOSE(CONTROL!$C$23, $C$13, 100%, $E$13)</f>
        <v>7.5266000000000002</v>
      </c>
      <c r="I134" s="67">
        <f>7.5314 * CHOOSE(CONTROL!$C$23, $C$13, 100%, $E$13)</f>
        <v>7.5313999999999997</v>
      </c>
      <c r="J134" s="67">
        <f>4.0968 * CHOOSE(CONTROL!$C$23, $C$13, 100%, $E$13)</f>
        <v>4.0968</v>
      </c>
      <c r="K134" s="67">
        <f>4.1015 * CHOOSE(CONTROL!$C$23, $C$13, 100%, $E$13)</f>
        <v>4.1014999999999997</v>
      </c>
      <c r="L134" s="4"/>
      <c r="M134" s="4"/>
      <c r="N134" s="4"/>
    </row>
    <row r="135" spans="1:14" ht="15">
      <c r="A135" s="13">
        <v>45231</v>
      </c>
      <c r="B135" s="66">
        <f>3.4352 * CHOOSE(CONTROL!$C$23, $C$13, 100%, $E$13)</f>
        <v>3.4352</v>
      </c>
      <c r="C135" s="66">
        <f>3.4352 * CHOOSE(CONTROL!$C$23, $C$13, 100%, $E$13)</f>
        <v>3.4352</v>
      </c>
      <c r="D135" s="66">
        <f>3.439 * CHOOSE(CONTROL!$C$23, $C$13, 100%, $E$13)</f>
        <v>3.4390000000000001</v>
      </c>
      <c r="E135" s="67">
        <f>4.1127 * CHOOSE(CONTROL!$C$23, $C$13, 100%, $E$13)</f>
        <v>4.1127000000000002</v>
      </c>
      <c r="F135" s="67">
        <f>4.1127 * CHOOSE(CONTROL!$C$23, $C$13, 100%, $E$13)</f>
        <v>4.1127000000000002</v>
      </c>
      <c r="G135" s="67">
        <f>4.1175 * CHOOSE(CONTROL!$C$23, $C$13, 100%, $E$13)</f>
        <v>4.1174999999999997</v>
      </c>
      <c r="H135" s="67">
        <f>7.5423* CHOOSE(CONTROL!$C$23, $C$13, 100%, $E$13)</f>
        <v>7.5423</v>
      </c>
      <c r="I135" s="67">
        <f>7.5471 * CHOOSE(CONTROL!$C$23, $C$13, 100%, $E$13)</f>
        <v>7.5471000000000004</v>
      </c>
      <c r="J135" s="67">
        <f>4.1127 * CHOOSE(CONTROL!$C$23, $C$13, 100%, $E$13)</f>
        <v>4.1127000000000002</v>
      </c>
      <c r="K135" s="67">
        <f>4.1175 * CHOOSE(CONTROL!$C$23, $C$13, 100%, $E$13)</f>
        <v>4.1174999999999997</v>
      </c>
      <c r="L135" s="4"/>
      <c r="M135" s="4"/>
      <c r="N135" s="4"/>
    </row>
    <row r="136" spans="1:14" ht="15">
      <c r="A136" s="13">
        <v>45261</v>
      </c>
      <c r="B136" s="66">
        <f>3.4352 * CHOOSE(CONTROL!$C$23, $C$13, 100%, $E$13)</f>
        <v>3.4352</v>
      </c>
      <c r="C136" s="66">
        <f>3.4352 * CHOOSE(CONTROL!$C$23, $C$13, 100%, $E$13)</f>
        <v>3.4352</v>
      </c>
      <c r="D136" s="66">
        <f>3.439 * CHOOSE(CONTROL!$C$23, $C$13, 100%, $E$13)</f>
        <v>3.4390000000000001</v>
      </c>
      <c r="E136" s="67">
        <f>4.0781 * CHOOSE(CONTROL!$C$23, $C$13, 100%, $E$13)</f>
        <v>4.0781000000000001</v>
      </c>
      <c r="F136" s="67">
        <f>4.0781 * CHOOSE(CONTROL!$C$23, $C$13, 100%, $E$13)</f>
        <v>4.0781000000000001</v>
      </c>
      <c r="G136" s="67">
        <f>4.0828 * CHOOSE(CONTROL!$C$23, $C$13, 100%, $E$13)</f>
        <v>4.0827999999999998</v>
      </c>
      <c r="H136" s="67">
        <f>7.558* CHOOSE(CONTROL!$C$23, $C$13, 100%, $E$13)</f>
        <v>7.5579999999999998</v>
      </c>
      <c r="I136" s="67">
        <f>7.5628 * CHOOSE(CONTROL!$C$23, $C$13, 100%, $E$13)</f>
        <v>7.5628000000000002</v>
      </c>
      <c r="J136" s="67">
        <f>4.0781 * CHOOSE(CONTROL!$C$23, $C$13, 100%, $E$13)</f>
        <v>4.0781000000000001</v>
      </c>
      <c r="K136" s="67">
        <f>4.0828 * CHOOSE(CONTROL!$C$23, $C$13, 100%, $E$13)</f>
        <v>4.0827999999999998</v>
      </c>
      <c r="L136" s="4"/>
      <c r="M136" s="4"/>
      <c r="N136" s="4"/>
    </row>
    <row r="137" spans="1:14" ht="15">
      <c r="A137" s="13">
        <v>45292</v>
      </c>
      <c r="B137" s="66">
        <f>3.4652 * CHOOSE(CONTROL!$C$23, $C$13, 100%, $E$13)</f>
        <v>3.4651999999999998</v>
      </c>
      <c r="C137" s="66">
        <f>3.4652 * CHOOSE(CONTROL!$C$23, $C$13, 100%, $E$13)</f>
        <v>3.4651999999999998</v>
      </c>
      <c r="D137" s="66">
        <f>3.469 * CHOOSE(CONTROL!$C$23, $C$13, 100%, $E$13)</f>
        <v>3.4689999999999999</v>
      </c>
      <c r="E137" s="67">
        <f>4.1228 * CHOOSE(CONTROL!$C$23, $C$13, 100%, $E$13)</f>
        <v>4.1227999999999998</v>
      </c>
      <c r="F137" s="67">
        <f>4.1228 * CHOOSE(CONTROL!$C$23, $C$13, 100%, $E$13)</f>
        <v>4.1227999999999998</v>
      </c>
      <c r="G137" s="67">
        <f>4.1275 * CHOOSE(CONTROL!$C$23, $C$13, 100%, $E$13)</f>
        <v>4.1275000000000004</v>
      </c>
      <c r="H137" s="67">
        <f>7.5738* CHOOSE(CONTROL!$C$23, $C$13, 100%, $E$13)</f>
        <v>7.5738000000000003</v>
      </c>
      <c r="I137" s="67">
        <f>7.5785 * CHOOSE(CONTROL!$C$23, $C$13, 100%, $E$13)</f>
        <v>7.5785</v>
      </c>
      <c r="J137" s="67">
        <f>4.1228 * CHOOSE(CONTROL!$C$23, $C$13, 100%, $E$13)</f>
        <v>4.1227999999999998</v>
      </c>
      <c r="K137" s="67">
        <f>4.1275 * CHOOSE(CONTROL!$C$23, $C$13, 100%, $E$13)</f>
        <v>4.1275000000000004</v>
      </c>
      <c r="L137" s="4"/>
      <c r="M137" s="4"/>
      <c r="N137" s="4"/>
    </row>
    <row r="138" spans="1:14" ht="15">
      <c r="A138" s="13">
        <v>45323</v>
      </c>
      <c r="B138" s="66">
        <f>3.4621 * CHOOSE(CONTROL!$C$23, $C$13, 100%, $E$13)</f>
        <v>3.4621</v>
      </c>
      <c r="C138" s="66">
        <f>3.4621 * CHOOSE(CONTROL!$C$23, $C$13, 100%, $E$13)</f>
        <v>3.4621</v>
      </c>
      <c r="D138" s="66">
        <f>3.466 * CHOOSE(CONTROL!$C$23, $C$13, 100%, $E$13)</f>
        <v>3.4660000000000002</v>
      </c>
      <c r="E138" s="67">
        <f>4.0546 * CHOOSE(CONTROL!$C$23, $C$13, 100%, $E$13)</f>
        <v>4.0545999999999998</v>
      </c>
      <c r="F138" s="67">
        <f>4.0546 * CHOOSE(CONTROL!$C$23, $C$13, 100%, $E$13)</f>
        <v>4.0545999999999998</v>
      </c>
      <c r="G138" s="67">
        <f>4.0594 * CHOOSE(CONTROL!$C$23, $C$13, 100%, $E$13)</f>
        <v>4.0594000000000001</v>
      </c>
      <c r="H138" s="67">
        <f>7.5896* CHOOSE(CONTROL!$C$23, $C$13, 100%, $E$13)</f>
        <v>7.5895999999999999</v>
      </c>
      <c r="I138" s="67">
        <f>7.5943 * CHOOSE(CONTROL!$C$23, $C$13, 100%, $E$13)</f>
        <v>7.5942999999999996</v>
      </c>
      <c r="J138" s="67">
        <f>4.0546 * CHOOSE(CONTROL!$C$23, $C$13, 100%, $E$13)</f>
        <v>4.0545999999999998</v>
      </c>
      <c r="K138" s="67">
        <f>4.0594 * CHOOSE(CONTROL!$C$23, $C$13, 100%, $E$13)</f>
        <v>4.0594000000000001</v>
      </c>
      <c r="L138" s="4"/>
      <c r="M138" s="4"/>
      <c r="N138" s="4"/>
    </row>
    <row r="139" spans="1:14" ht="15">
      <c r="A139" s="13">
        <v>45352</v>
      </c>
      <c r="B139" s="66">
        <f>3.4591 * CHOOSE(CONTROL!$C$23, $C$13, 100%, $E$13)</f>
        <v>3.4590999999999998</v>
      </c>
      <c r="C139" s="66">
        <f>3.4591 * CHOOSE(CONTROL!$C$23, $C$13, 100%, $E$13)</f>
        <v>3.4590999999999998</v>
      </c>
      <c r="D139" s="66">
        <f>3.463 * CHOOSE(CONTROL!$C$23, $C$13, 100%, $E$13)</f>
        <v>3.4630000000000001</v>
      </c>
      <c r="E139" s="67">
        <f>4.1046 * CHOOSE(CONTROL!$C$23, $C$13, 100%, $E$13)</f>
        <v>4.1045999999999996</v>
      </c>
      <c r="F139" s="67">
        <f>4.1046 * CHOOSE(CONTROL!$C$23, $C$13, 100%, $E$13)</f>
        <v>4.1045999999999996</v>
      </c>
      <c r="G139" s="67">
        <f>4.1093 * CHOOSE(CONTROL!$C$23, $C$13, 100%, $E$13)</f>
        <v>4.1093000000000002</v>
      </c>
      <c r="H139" s="67">
        <f>7.6054* CHOOSE(CONTROL!$C$23, $C$13, 100%, $E$13)</f>
        <v>7.6054000000000004</v>
      </c>
      <c r="I139" s="67">
        <f>7.6101 * CHOOSE(CONTROL!$C$23, $C$13, 100%, $E$13)</f>
        <v>7.6101000000000001</v>
      </c>
      <c r="J139" s="67">
        <f>4.1046 * CHOOSE(CONTROL!$C$23, $C$13, 100%, $E$13)</f>
        <v>4.1045999999999996</v>
      </c>
      <c r="K139" s="67">
        <f>4.1093 * CHOOSE(CONTROL!$C$23, $C$13, 100%, $E$13)</f>
        <v>4.1093000000000002</v>
      </c>
      <c r="L139" s="4"/>
      <c r="M139" s="4"/>
      <c r="N139" s="4"/>
    </row>
    <row r="140" spans="1:14" ht="15">
      <c r="A140" s="13">
        <v>45383</v>
      </c>
      <c r="B140" s="66">
        <f>3.4562 * CHOOSE(CONTROL!$C$23, $C$13, 100%, $E$13)</f>
        <v>3.4561999999999999</v>
      </c>
      <c r="C140" s="66">
        <f>3.4562 * CHOOSE(CONTROL!$C$23, $C$13, 100%, $E$13)</f>
        <v>3.4561999999999999</v>
      </c>
      <c r="D140" s="66">
        <f>3.4601 * CHOOSE(CONTROL!$C$23, $C$13, 100%, $E$13)</f>
        <v>3.4601000000000002</v>
      </c>
      <c r="E140" s="67">
        <f>4.1563 * CHOOSE(CONTROL!$C$23, $C$13, 100%, $E$13)</f>
        <v>4.1562999999999999</v>
      </c>
      <c r="F140" s="67">
        <f>4.1563 * CHOOSE(CONTROL!$C$23, $C$13, 100%, $E$13)</f>
        <v>4.1562999999999999</v>
      </c>
      <c r="G140" s="67">
        <f>4.161 * CHOOSE(CONTROL!$C$23, $C$13, 100%, $E$13)</f>
        <v>4.1609999999999996</v>
      </c>
      <c r="H140" s="67">
        <f>7.6212* CHOOSE(CONTROL!$C$23, $C$13, 100%, $E$13)</f>
        <v>7.6212</v>
      </c>
      <c r="I140" s="67">
        <f>7.626 * CHOOSE(CONTROL!$C$23, $C$13, 100%, $E$13)</f>
        <v>7.6260000000000003</v>
      </c>
      <c r="J140" s="67">
        <f>4.1563 * CHOOSE(CONTROL!$C$23, $C$13, 100%, $E$13)</f>
        <v>4.1562999999999999</v>
      </c>
      <c r="K140" s="67">
        <f>4.161 * CHOOSE(CONTROL!$C$23, $C$13, 100%, $E$13)</f>
        <v>4.1609999999999996</v>
      </c>
      <c r="L140" s="4"/>
      <c r="M140" s="4"/>
      <c r="N140" s="4"/>
    </row>
    <row r="141" spans="1:14" ht="15">
      <c r="A141" s="13">
        <v>45413</v>
      </c>
      <c r="B141" s="66">
        <f>3.4562 * CHOOSE(CONTROL!$C$23, $C$13, 100%, $E$13)</f>
        <v>3.4561999999999999</v>
      </c>
      <c r="C141" s="66">
        <f>3.4562 * CHOOSE(CONTROL!$C$23, $C$13, 100%, $E$13)</f>
        <v>3.4561999999999999</v>
      </c>
      <c r="D141" s="66">
        <f>3.4617 * CHOOSE(CONTROL!$C$23, $C$13, 100%, $E$13)</f>
        <v>3.4617</v>
      </c>
      <c r="E141" s="67">
        <f>4.1772 * CHOOSE(CONTROL!$C$23, $C$13, 100%, $E$13)</f>
        <v>4.1772</v>
      </c>
      <c r="F141" s="67">
        <f>4.1772 * CHOOSE(CONTROL!$C$23, $C$13, 100%, $E$13)</f>
        <v>4.1772</v>
      </c>
      <c r="G141" s="67">
        <f>4.184 * CHOOSE(CONTROL!$C$23, $C$13, 100%, $E$13)</f>
        <v>4.1840000000000002</v>
      </c>
      <c r="H141" s="67">
        <f>7.6371* CHOOSE(CONTROL!$C$23, $C$13, 100%, $E$13)</f>
        <v>7.6371000000000002</v>
      </c>
      <c r="I141" s="67">
        <f>7.6438 * CHOOSE(CONTROL!$C$23, $C$13, 100%, $E$13)</f>
        <v>7.6437999999999997</v>
      </c>
      <c r="J141" s="67">
        <f>4.1772 * CHOOSE(CONTROL!$C$23, $C$13, 100%, $E$13)</f>
        <v>4.1772</v>
      </c>
      <c r="K141" s="67">
        <f>4.184 * CHOOSE(CONTROL!$C$23, $C$13, 100%, $E$13)</f>
        <v>4.1840000000000002</v>
      </c>
      <c r="L141" s="4"/>
      <c r="M141" s="4"/>
      <c r="N141" s="4"/>
    </row>
    <row r="142" spans="1:14" ht="15">
      <c r="A142" s="13">
        <v>45444</v>
      </c>
      <c r="B142" s="66">
        <f>3.4623 * CHOOSE(CONTROL!$C$23, $C$13, 100%, $E$13)</f>
        <v>3.4622999999999999</v>
      </c>
      <c r="C142" s="66">
        <f>3.4623 * CHOOSE(CONTROL!$C$23, $C$13, 100%, $E$13)</f>
        <v>3.4622999999999999</v>
      </c>
      <c r="D142" s="66">
        <f>3.4678 * CHOOSE(CONTROL!$C$23, $C$13, 100%, $E$13)</f>
        <v>3.4678</v>
      </c>
      <c r="E142" s="67">
        <f>4.1605 * CHOOSE(CONTROL!$C$23, $C$13, 100%, $E$13)</f>
        <v>4.1604999999999999</v>
      </c>
      <c r="F142" s="67">
        <f>4.1605 * CHOOSE(CONTROL!$C$23, $C$13, 100%, $E$13)</f>
        <v>4.1604999999999999</v>
      </c>
      <c r="G142" s="67">
        <f>4.1672 * CHOOSE(CONTROL!$C$23, $C$13, 100%, $E$13)</f>
        <v>4.1672000000000002</v>
      </c>
      <c r="H142" s="67">
        <f>7.653* CHOOSE(CONTROL!$C$23, $C$13, 100%, $E$13)</f>
        <v>7.6529999999999996</v>
      </c>
      <c r="I142" s="67">
        <f>7.6597 * CHOOSE(CONTROL!$C$23, $C$13, 100%, $E$13)</f>
        <v>7.6597</v>
      </c>
      <c r="J142" s="67">
        <f>4.1605 * CHOOSE(CONTROL!$C$23, $C$13, 100%, $E$13)</f>
        <v>4.1604999999999999</v>
      </c>
      <c r="K142" s="67">
        <f>4.1672 * CHOOSE(CONTROL!$C$23, $C$13, 100%, $E$13)</f>
        <v>4.1672000000000002</v>
      </c>
      <c r="L142" s="4"/>
      <c r="M142" s="4"/>
      <c r="N142" s="4"/>
    </row>
    <row r="143" spans="1:14" ht="15">
      <c r="A143" s="13">
        <v>45474</v>
      </c>
      <c r="B143" s="66">
        <f>3.5185 * CHOOSE(CONTROL!$C$23, $C$13, 100%, $E$13)</f>
        <v>3.5185</v>
      </c>
      <c r="C143" s="66">
        <f>3.5185 * CHOOSE(CONTROL!$C$23, $C$13, 100%, $E$13)</f>
        <v>3.5185</v>
      </c>
      <c r="D143" s="66">
        <f>3.524 * CHOOSE(CONTROL!$C$23, $C$13, 100%, $E$13)</f>
        <v>3.524</v>
      </c>
      <c r="E143" s="67">
        <f>4.2301 * CHOOSE(CONTROL!$C$23, $C$13, 100%, $E$13)</f>
        <v>4.2301000000000002</v>
      </c>
      <c r="F143" s="67">
        <f>4.2301 * CHOOSE(CONTROL!$C$23, $C$13, 100%, $E$13)</f>
        <v>4.2301000000000002</v>
      </c>
      <c r="G143" s="67">
        <f>4.2368 * CHOOSE(CONTROL!$C$23, $C$13, 100%, $E$13)</f>
        <v>4.2367999999999997</v>
      </c>
      <c r="H143" s="67">
        <f>7.6689* CHOOSE(CONTROL!$C$23, $C$13, 100%, $E$13)</f>
        <v>7.6688999999999998</v>
      </c>
      <c r="I143" s="67">
        <f>7.6757 * CHOOSE(CONTROL!$C$23, $C$13, 100%, $E$13)</f>
        <v>7.6757</v>
      </c>
      <c r="J143" s="67">
        <f>4.2301 * CHOOSE(CONTROL!$C$23, $C$13, 100%, $E$13)</f>
        <v>4.2301000000000002</v>
      </c>
      <c r="K143" s="67">
        <f>4.2368 * CHOOSE(CONTROL!$C$23, $C$13, 100%, $E$13)</f>
        <v>4.2367999999999997</v>
      </c>
      <c r="L143" s="4"/>
      <c r="M143" s="4"/>
      <c r="N143" s="4"/>
    </row>
    <row r="144" spans="1:14" ht="15">
      <c r="A144" s="13">
        <v>45505</v>
      </c>
      <c r="B144" s="66">
        <f>3.5251 * CHOOSE(CONTROL!$C$23, $C$13, 100%, $E$13)</f>
        <v>3.5251000000000001</v>
      </c>
      <c r="C144" s="66">
        <f>3.5251 * CHOOSE(CONTROL!$C$23, $C$13, 100%, $E$13)</f>
        <v>3.5251000000000001</v>
      </c>
      <c r="D144" s="66">
        <f>3.5306 * CHOOSE(CONTROL!$C$23, $C$13, 100%, $E$13)</f>
        <v>3.5306000000000002</v>
      </c>
      <c r="E144" s="67">
        <f>4.1718 * CHOOSE(CONTROL!$C$23, $C$13, 100%, $E$13)</f>
        <v>4.1718000000000002</v>
      </c>
      <c r="F144" s="67">
        <f>4.1718 * CHOOSE(CONTROL!$C$23, $C$13, 100%, $E$13)</f>
        <v>4.1718000000000002</v>
      </c>
      <c r="G144" s="67">
        <f>4.1786 * CHOOSE(CONTROL!$C$23, $C$13, 100%, $E$13)</f>
        <v>4.1786000000000003</v>
      </c>
      <c r="H144" s="67">
        <f>7.6849* CHOOSE(CONTROL!$C$23, $C$13, 100%, $E$13)</f>
        <v>7.6848999999999998</v>
      </c>
      <c r="I144" s="67">
        <f>7.6917 * CHOOSE(CONTROL!$C$23, $C$13, 100%, $E$13)</f>
        <v>7.6917</v>
      </c>
      <c r="J144" s="67">
        <f>4.1718 * CHOOSE(CONTROL!$C$23, $C$13, 100%, $E$13)</f>
        <v>4.1718000000000002</v>
      </c>
      <c r="K144" s="67">
        <f>4.1786 * CHOOSE(CONTROL!$C$23, $C$13, 100%, $E$13)</f>
        <v>4.1786000000000003</v>
      </c>
      <c r="L144" s="4"/>
      <c r="M144" s="4"/>
      <c r="N144" s="4"/>
    </row>
    <row r="145" spans="1:14" ht="15">
      <c r="A145" s="13">
        <v>45536</v>
      </c>
      <c r="B145" s="66">
        <f>3.5221 * CHOOSE(CONTROL!$C$23, $C$13, 100%, $E$13)</f>
        <v>3.5221</v>
      </c>
      <c r="C145" s="66">
        <f>3.5221 * CHOOSE(CONTROL!$C$23, $C$13, 100%, $E$13)</f>
        <v>3.5221</v>
      </c>
      <c r="D145" s="66">
        <f>3.5276 * CHOOSE(CONTROL!$C$23, $C$13, 100%, $E$13)</f>
        <v>3.5276000000000001</v>
      </c>
      <c r="E145" s="67">
        <f>4.1627 * CHOOSE(CONTROL!$C$23, $C$13, 100%, $E$13)</f>
        <v>4.1627000000000001</v>
      </c>
      <c r="F145" s="67">
        <f>4.1627 * CHOOSE(CONTROL!$C$23, $C$13, 100%, $E$13)</f>
        <v>4.1627000000000001</v>
      </c>
      <c r="G145" s="67">
        <f>4.1694 * CHOOSE(CONTROL!$C$23, $C$13, 100%, $E$13)</f>
        <v>4.1694000000000004</v>
      </c>
      <c r="H145" s="67">
        <f>7.7009* CHOOSE(CONTROL!$C$23, $C$13, 100%, $E$13)</f>
        <v>7.7008999999999999</v>
      </c>
      <c r="I145" s="67">
        <f>7.7077 * CHOOSE(CONTROL!$C$23, $C$13, 100%, $E$13)</f>
        <v>7.7077</v>
      </c>
      <c r="J145" s="67">
        <f>4.1627 * CHOOSE(CONTROL!$C$23, $C$13, 100%, $E$13)</f>
        <v>4.1627000000000001</v>
      </c>
      <c r="K145" s="67">
        <f>4.1694 * CHOOSE(CONTROL!$C$23, $C$13, 100%, $E$13)</f>
        <v>4.1694000000000004</v>
      </c>
      <c r="L145" s="4"/>
      <c r="M145" s="4"/>
      <c r="N145" s="4"/>
    </row>
    <row r="146" spans="1:14" ht="15">
      <c r="A146" s="13">
        <v>45566</v>
      </c>
      <c r="B146" s="66">
        <f>3.5152 * CHOOSE(CONTROL!$C$23, $C$13, 100%, $E$13)</f>
        <v>3.5152000000000001</v>
      </c>
      <c r="C146" s="66">
        <f>3.5152 * CHOOSE(CONTROL!$C$23, $C$13, 100%, $E$13)</f>
        <v>3.5152000000000001</v>
      </c>
      <c r="D146" s="66">
        <f>3.5191 * CHOOSE(CONTROL!$C$23, $C$13, 100%, $E$13)</f>
        <v>3.5190999999999999</v>
      </c>
      <c r="E146" s="67">
        <f>4.1773 * CHOOSE(CONTROL!$C$23, $C$13, 100%, $E$13)</f>
        <v>4.1772999999999998</v>
      </c>
      <c r="F146" s="67">
        <f>4.1773 * CHOOSE(CONTROL!$C$23, $C$13, 100%, $E$13)</f>
        <v>4.1772999999999998</v>
      </c>
      <c r="G146" s="67">
        <f>4.182 * CHOOSE(CONTROL!$C$23, $C$13, 100%, $E$13)</f>
        <v>4.1820000000000004</v>
      </c>
      <c r="H146" s="67">
        <f>7.717* CHOOSE(CONTROL!$C$23, $C$13, 100%, $E$13)</f>
        <v>7.7169999999999996</v>
      </c>
      <c r="I146" s="67">
        <f>7.7217 * CHOOSE(CONTROL!$C$23, $C$13, 100%, $E$13)</f>
        <v>7.7217000000000002</v>
      </c>
      <c r="J146" s="67">
        <f>4.1773 * CHOOSE(CONTROL!$C$23, $C$13, 100%, $E$13)</f>
        <v>4.1772999999999998</v>
      </c>
      <c r="K146" s="67">
        <f>4.182 * CHOOSE(CONTROL!$C$23, $C$13, 100%, $E$13)</f>
        <v>4.1820000000000004</v>
      </c>
      <c r="L146" s="4"/>
      <c r="M146" s="4"/>
      <c r="N146" s="4"/>
    </row>
    <row r="147" spans="1:14" ht="15">
      <c r="A147" s="13">
        <v>45597</v>
      </c>
      <c r="B147" s="66">
        <f>3.5183 * CHOOSE(CONTROL!$C$23, $C$13, 100%, $E$13)</f>
        <v>3.5183</v>
      </c>
      <c r="C147" s="66">
        <f>3.5183 * CHOOSE(CONTROL!$C$23, $C$13, 100%, $E$13)</f>
        <v>3.5183</v>
      </c>
      <c r="D147" s="66">
        <f>3.5222 * CHOOSE(CONTROL!$C$23, $C$13, 100%, $E$13)</f>
        <v>3.5222000000000002</v>
      </c>
      <c r="E147" s="67">
        <f>4.1934 * CHOOSE(CONTROL!$C$23, $C$13, 100%, $E$13)</f>
        <v>4.1933999999999996</v>
      </c>
      <c r="F147" s="67">
        <f>4.1934 * CHOOSE(CONTROL!$C$23, $C$13, 100%, $E$13)</f>
        <v>4.1933999999999996</v>
      </c>
      <c r="G147" s="67">
        <f>4.1981 * CHOOSE(CONTROL!$C$23, $C$13, 100%, $E$13)</f>
        <v>4.1981000000000002</v>
      </c>
      <c r="H147" s="67">
        <f>7.7331* CHOOSE(CONTROL!$C$23, $C$13, 100%, $E$13)</f>
        <v>7.7331000000000003</v>
      </c>
      <c r="I147" s="67">
        <f>7.7378 * CHOOSE(CONTROL!$C$23, $C$13, 100%, $E$13)</f>
        <v>7.7378</v>
      </c>
      <c r="J147" s="67">
        <f>4.1934 * CHOOSE(CONTROL!$C$23, $C$13, 100%, $E$13)</f>
        <v>4.1933999999999996</v>
      </c>
      <c r="K147" s="67">
        <f>4.1981 * CHOOSE(CONTROL!$C$23, $C$13, 100%, $E$13)</f>
        <v>4.1981000000000002</v>
      </c>
      <c r="L147" s="4"/>
      <c r="M147" s="4"/>
      <c r="N147" s="4"/>
    </row>
    <row r="148" spans="1:14" ht="15">
      <c r="A148" s="13">
        <v>45627</v>
      </c>
      <c r="B148" s="66">
        <f>3.5183 * CHOOSE(CONTROL!$C$23, $C$13, 100%, $E$13)</f>
        <v>3.5183</v>
      </c>
      <c r="C148" s="66">
        <f>3.5183 * CHOOSE(CONTROL!$C$23, $C$13, 100%, $E$13)</f>
        <v>3.5183</v>
      </c>
      <c r="D148" s="66">
        <f>3.5222 * CHOOSE(CONTROL!$C$23, $C$13, 100%, $E$13)</f>
        <v>3.5222000000000002</v>
      </c>
      <c r="E148" s="67">
        <f>4.1584 * CHOOSE(CONTROL!$C$23, $C$13, 100%, $E$13)</f>
        <v>4.1584000000000003</v>
      </c>
      <c r="F148" s="67">
        <f>4.1584 * CHOOSE(CONTROL!$C$23, $C$13, 100%, $E$13)</f>
        <v>4.1584000000000003</v>
      </c>
      <c r="G148" s="67">
        <f>4.1632 * CHOOSE(CONTROL!$C$23, $C$13, 100%, $E$13)</f>
        <v>4.1631999999999998</v>
      </c>
      <c r="H148" s="67">
        <f>7.7492* CHOOSE(CONTROL!$C$23, $C$13, 100%, $E$13)</f>
        <v>7.7492000000000001</v>
      </c>
      <c r="I148" s="67">
        <f>7.7539 * CHOOSE(CONTROL!$C$23, $C$13, 100%, $E$13)</f>
        <v>7.7538999999999998</v>
      </c>
      <c r="J148" s="67">
        <f>4.1584 * CHOOSE(CONTROL!$C$23, $C$13, 100%, $E$13)</f>
        <v>4.1584000000000003</v>
      </c>
      <c r="K148" s="67">
        <f>4.1632 * CHOOSE(CONTROL!$C$23, $C$13, 100%, $E$13)</f>
        <v>4.1631999999999998</v>
      </c>
      <c r="L148" s="4"/>
      <c r="M148" s="4"/>
      <c r="N148" s="4"/>
    </row>
    <row r="149" spans="1:14" ht="15">
      <c r="A149" s="13">
        <v>45658</v>
      </c>
      <c r="B149" s="66">
        <f>3.5476 * CHOOSE(CONTROL!$C$23, $C$13, 100%, $E$13)</f>
        <v>3.5476000000000001</v>
      </c>
      <c r="C149" s="66">
        <f>3.5476 * CHOOSE(CONTROL!$C$23, $C$13, 100%, $E$13)</f>
        <v>3.5476000000000001</v>
      </c>
      <c r="D149" s="66">
        <f>3.5514 * CHOOSE(CONTROL!$C$23, $C$13, 100%, $E$13)</f>
        <v>3.5514000000000001</v>
      </c>
      <c r="E149" s="67">
        <f>4.2052 * CHOOSE(CONTROL!$C$23, $C$13, 100%, $E$13)</f>
        <v>4.2051999999999996</v>
      </c>
      <c r="F149" s="67">
        <f>4.2052 * CHOOSE(CONTROL!$C$23, $C$13, 100%, $E$13)</f>
        <v>4.2051999999999996</v>
      </c>
      <c r="G149" s="67">
        <f>4.21 * CHOOSE(CONTROL!$C$23, $C$13, 100%, $E$13)</f>
        <v>4.21</v>
      </c>
      <c r="H149" s="67">
        <f>7.7653* CHOOSE(CONTROL!$C$23, $C$13, 100%, $E$13)</f>
        <v>7.7652999999999999</v>
      </c>
      <c r="I149" s="67">
        <f>7.7701 * CHOOSE(CONTROL!$C$23, $C$13, 100%, $E$13)</f>
        <v>7.7701000000000002</v>
      </c>
      <c r="J149" s="67">
        <f>4.2052 * CHOOSE(CONTROL!$C$23, $C$13, 100%, $E$13)</f>
        <v>4.2051999999999996</v>
      </c>
      <c r="K149" s="67">
        <f>4.21 * CHOOSE(CONTROL!$C$23, $C$13, 100%, $E$13)</f>
        <v>4.21</v>
      </c>
      <c r="L149" s="4"/>
      <c r="M149" s="4"/>
      <c r="N149" s="4"/>
    </row>
    <row r="150" spans="1:14" ht="15">
      <c r="A150" s="13">
        <v>45689</v>
      </c>
      <c r="B150" s="66">
        <f>3.5445 * CHOOSE(CONTROL!$C$23, $C$13, 100%, $E$13)</f>
        <v>3.5445000000000002</v>
      </c>
      <c r="C150" s="66">
        <f>3.5445 * CHOOSE(CONTROL!$C$23, $C$13, 100%, $E$13)</f>
        <v>3.5445000000000002</v>
      </c>
      <c r="D150" s="66">
        <f>3.5484 * CHOOSE(CONTROL!$C$23, $C$13, 100%, $E$13)</f>
        <v>3.5484</v>
      </c>
      <c r="E150" s="67">
        <f>4.1366 * CHOOSE(CONTROL!$C$23, $C$13, 100%, $E$13)</f>
        <v>4.1365999999999996</v>
      </c>
      <c r="F150" s="67">
        <f>4.1366 * CHOOSE(CONTROL!$C$23, $C$13, 100%, $E$13)</f>
        <v>4.1365999999999996</v>
      </c>
      <c r="G150" s="67">
        <f>4.1413 * CHOOSE(CONTROL!$C$23, $C$13, 100%, $E$13)</f>
        <v>4.1413000000000002</v>
      </c>
      <c r="H150" s="67">
        <f>7.7815* CHOOSE(CONTROL!$C$23, $C$13, 100%, $E$13)</f>
        <v>7.7815000000000003</v>
      </c>
      <c r="I150" s="67">
        <f>7.7863 * CHOOSE(CONTROL!$C$23, $C$13, 100%, $E$13)</f>
        <v>7.7862999999999998</v>
      </c>
      <c r="J150" s="67">
        <f>4.1366 * CHOOSE(CONTROL!$C$23, $C$13, 100%, $E$13)</f>
        <v>4.1365999999999996</v>
      </c>
      <c r="K150" s="67">
        <f>4.1413 * CHOOSE(CONTROL!$C$23, $C$13, 100%, $E$13)</f>
        <v>4.1413000000000002</v>
      </c>
      <c r="L150" s="4"/>
      <c r="M150" s="4"/>
      <c r="N150" s="4"/>
    </row>
    <row r="151" spans="1:14" ht="15">
      <c r="A151" s="13">
        <v>45717</v>
      </c>
      <c r="B151" s="66">
        <f>3.5415 * CHOOSE(CONTROL!$C$23, $C$13, 100%, $E$13)</f>
        <v>3.5415000000000001</v>
      </c>
      <c r="C151" s="66">
        <f>3.5415 * CHOOSE(CONTROL!$C$23, $C$13, 100%, $E$13)</f>
        <v>3.5415000000000001</v>
      </c>
      <c r="D151" s="66">
        <f>3.5453 * CHOOSE(CONTROL!$C$23, $C$13, 100%, $E$13)</f>
        <v>3.5453000000000001</v>
      </c>
      <c r="E151" s="67">
        <f>4.1869 * CHOOSE(CONTROL!$C$23, $C$13, 100%, $E$13)</f>
        <v>4.1868999999999996</v>
      </c>
      <c r="F151" s="67">
        <f>4.1869 * CHOOSE(CONTROL!$C$23, $C$13, 100%, $E$13)</f>
        <v>4.1868999999999996</v>
      </c>
      <c r="G151" s="67">
        <f>4.1917 * CHOOSE(CONTROL!$C$23, $C$13, 100%, $E$13)</f>
        <v>4.1917</v>
      </c>
      <c r="H151" s="67">
        <f>7.7977* CHOOSE(CONTROL!$C$23, $C$13, 100%, $E$13)</f>
        <v>7.7976999999999999</v>
      </c>
      <c r="I151" s="67">
        <f>7.8025 * CHOOSE(CONTROL!$C$23, $C$13, 100%, $E$13)</f>
        <v>7.8025000000000002</v>
      </c>
      <c r="J151" s="67">
        <f>4.1869 * CHOOSE(CONTROL!$C$23, $C$13, 100%, $E$13)</f>
        <v>4.1868999999999996</v>
      </c>
      <c r="K151" s="67">
        <f>4.1917 * CHOOSE(CONTROL!$C$23, $C$13, 100%, $E$13)</f>
        <v>4.1917</v>
      </c>
      <c r="L151" s="4"/>
      <c r="M151" s="4"/>
      <c r="N151" s="4"/>
    </row>
    <row r="152" spans="1:14" ht="15">
      <c r="A152" s="13">
        <v>45748</v>
      </c>
      <c r="B152" s="66">
        <f>3.5386 * CHOOSE(CONTROL!$C$23, $C$13, 100%, $E$13)</f>
        <v>3.5386000000000002</v>
      </c>
      <c r="C152" s="66">
        <f>3.5386 * CHOOSE(CONTROL!$C$23, $C$13, 100%, $E$13)</f>
        <v>3.5386000000000002</v>
      </c>
      <c r="D152" s="66">
        <f>3.5425 * CHOOSE(CONTROL!$C$23, $C$13, 100%, $E$13)</f>
        <v>3.5425</v>
      </c>
      <c r="E152" s="67">
        <f>4.239 * CHOOSE(CONTROL!$C$23, $C$13, 100%, $E$13)</f>
        <v>4.2389999999999999</v>
      </c>
      <c r="F152" s="67">
        <f>4.239 * CHOOSE(CONTROL!$C$23, $C$13, 100%, $E$13)</f>
        <v>4.2389999999999999</v>
      </c>
      <c r="G152" s="67">
        <f>4.2438 * CHOOSE(CONTROL!$C$23, $C$13, 100%, $E$13)</f>
        <v>4.2438000000000002</v>
      </c>
      <c r="H152" s="67">
        <f>7.8139* CHOOSE(CONTROL!$C$23, $C$13, 100%, $E$13)</f>
        <v>7.8139000000000003</v>
      </c>
      <c r="I152" s="67">
        <f>7.8187 * CHOOSE(CONTROL!$C$23, $C$13, 100%, $E$13)</f>
        <v>7.8186999999999998</v>
      </c>
      <c r="J152" s="67">
        <f>4.239 * CHOOSE(CONTROL!$C$23, $C$13, 100%, $E$13)</f>
        <v>4.2389999999999999</v>
      </c>
      <c r="K152" s="67">
        <f>4.2438 * CHOOSE(CONTROL!$C$23, $C$13, 100%, $E$13)</f>
        <v>4.2438000000000002</v>
      </c>
      <c r="L152" s="4"/>
      <c r="M152" s="4"/>
      <c r="N152" s="4"/>
    </row>
    <row r="153" spans="1:14" ht="15">
      <c r="A153" s="13">
        <v>45778</v>
      </c>
      <c r="B153" s="66">
        <f>3.5386 * CHOOSE(CONTROL!$C$23, $C$13, 100%, $E$13)</f>
        <v>3.5386000000000002</v>
      </c>
      <c r="C153" s="66">
        <f>3.5386 * CHOOSE(CONTROL!$C$23, $C$13, 100%, $E$13)</f>
        <v>3.5386000000000002</v>
      </c>
      <c r="D153" s="66">
        <f>3.5442 * CHOOSE(CONTROL!$C$23, $C$13, 100%, $E$13)</f>
        <v>3.5442</v>
      </c>
      <c r="E153" s="67">
        <f>4.2602 * CHOOSE(CONTROL!$C$23, $C$13, 100%, $E$13)</f>
        <v>4.2602000000000002</v>
      </c>
      <c r="F153" s="67">
        <f>4.2602 * CHOOSE(CONTROL!$C$23, $C$13, 100%, $E$13)</f>
        <v>4.2602000000000002</v>
      </c>
      <c r="G153" s="67">
        <f>4.2669 * CHOOSE(CONTROL!$C$23, $C$13, 100%, $E$13)</f>
        <v>4.2668999999999997</v>
      </c>
      <c r="H153" s="67">
        <f>7.8302* CHOOSE(CONTROL!$C$23, $C$13, 100%, $E$13)</f>
        <v>7.8301999999999996</v>
      </c>
      <c r="I153" s="67">
        <f>7.837 * CHOOSE(CONTROL!$C$23, $C$13, 100%, $E$13)</f>
        <v>7.8369999999999997</v>
      </c>
      <c r="J153" s="67">
        <f>4.2602 * CHOOSE(CONTROL!$C$23, $C$13, 100%, $E$13)</f>
        <v>4.2602000000000002</v>
      </c>
      <c r="K153" s="67">
        <f>4.2669 * CHOOSE(CONTROL!$C$23, $C$13, 100%, $E$13)</f>
        <v>4.2668999999999997</v>
      </c>
      <c r="L153" s="4"/>
      <c r="M153" s="4"/>
      <c r="N153" s="4"/>
    </row>
    <row r="154" spans="1:14" ht="15">
      <c r="A154" s="13">
        <v>45809</v>
      </c>
      <c r="B154" s="66">
        <f>3.5447 * CHOOSE(CONTROL!$C$23, $C$13, 100%, $E$13)</f>
        <v>3.5447000000000002</v>
      </c>
      <c r="C154" s="66">
        <f>3.5447 * CHOOSE(CONTROL!$C$23, $C$13, 100%, $E$13)</f>
        <v>3.5447000000000002</v>
      </c>
      <c r="D154" s="66">
        <f>3.5502 * CHOOSE(CONTROL!$C$23, $C$13, 100%, $E$13)</f>
        <v>3.5501999999999998</v>
      </c>
      <c r="E154" s="67">
        <f>4.2433 * CHOOSE(CONTROL!$C$23, $C$13, 100%, $E$13)</f>
        <v>4.2432999999999996</v>
      </c>
      <c r="F154" s="67">
        <f>4.2433 * CHOOSE(CONTROL!$C$23, $C$13, 100%, $E$13)</f>
        <v>4.2432999999999996</v>
      </c>
      <c r="G154" s="67">
        <f>4.25 * CHOOSE(CONTROL!$C$23, $C$13, 100%, $E$13)</f>
        <v>4.25</v>
      </c>
      <c r="H154" s="67">
        <f>7.8465* CHOOSE(CONTROL!$C$23, $C$13, 100%, $E$13)</f>
        <v>7.8464999999999998</v>
      </c>
      <c r="I154" s="67">
        <f>7.8533 * CHOOSE(CONTROL!$C$23, $C$13, 100%, $E$13)</f>
        <v>7.8532999999999999</v>
      </c>
      <c r="J154" s="67">
        <f>4.2433 * CHOOSE(CONTROL!$C$23, $C$13, 100%, $E$13)</f>
        <v>4.2432999999999996</v>
      </c>
      <c r="K154" s="67">
        <f>4.25 * CHOOSE(CONTROL!$C$23, $C$13, 100%, $E$13)</f>
        <v>4.25</v>
      </c>
      <c r="L154" s="4"/>
      <c r="M154" s="4"/>
      <c r="N154" s="4"/>
    </row>
    <row r="155" spans="1:14" ht="15">
      <c r="A155" s="13">
        <v>45839</v>
      </c>
      <c r="B155" s="66">
        <f>3.5989 * CHOOSE(CONTROL!$C$23, $C$13, 100%, $E$13)</f>
        <v>3.5989</v>
      </c>
      <c r="C155" s="66">
        <f>3.5989 * CHOOSE(CONTROL!$C$23, $C$13, 100%, $E$13)</f>
        <v>3.5989</v>
      </c>
      <c r="D155" s="66">
        <f>3.6044 * CHOOSE(CONTROL!$C$23, $C$13, 100%, $E$13)</f>
        <v>3.6044</v>
      </c>
      <c r="E155" s="67">
        <f>4.3194 * CHOOSE(CONTROL!$C$23, $C$13, 100%, $E$13)</f>
        <v>4.3193999999999999</v>
      </c>
      <c r="F155" s="67">
        <f>4.3194 * CHOOSE(CONTROL!$C$23, $C$13, 100%, $E$13)</f>
        <v>4.3193999999999999</v>
      </c>
      <c r="G155" s="67">
        <f>4.3262 * CHOOSE(CONTROL!$C$23, $C$13, 100%, $E$13)</f>
        <v>4.3262</v>
      </c>
      <c r="H155" s="67">
        <f>7.8629* CHOOSE(CONTROL!$C$23, $C$13, 100%, $E$13)</f>
        <v>7.8628999999999998</v>
      </c>
      <c r="I155" s="67">
        <f>7.8696 * CHOOSE(CONTROL!$C$23, $C$13, 100%, $E$13)</f>
        <v>7.8696000000000002</v>
      </c>
      <c r="J155" s="67">
        <f>4.3194 * CHOOSE(CONTROL!$C$23, $C$13, 100%, $E$13)</f>
        <v>4.3193999999999999</v>
      </c>
      <c r="K155" s="67">
        <f>4.3262 * CHOOSE(CONTROL!$C$23, $C$13, 100%, $E$13)</f>
        <v>4.3262</v>
      </c>
      <c r="L155" s="4"/>
      <c r="M155" s="4"/>
      <c r="N155" s="4"/>
    </row>
    <row r="156" spans="1:14" ht="15">
      <c r="A156" s="13">
        <v>45870</v>
      </c>
      <c r="B156" s="66">
        <f>3.6055 * CHOOSE(CONTROL!$C$23, $C$13, 100%, $E$13)</f>
        <v>3.6055000000000001</v>
      </c>
      <c r="C156" s="66">
        <f>3.6055 * CHOOSE(CONTROL!$C$23, $C$13, 100%, $E$13)</f>
        <v>3.6055000000000001</v>
      </c>
      <c r="D156" s="66">
        <f>3.611 * CHOOSE(CONTROL!$C$23, $C$13, 100%, $E$13)</f>
        <v>3.6110000000000002</v>
      </c>
      <c r="E156" s="67">
        <f>4.2607 * CHOOSE(CONTROL!$C$23, $C$13, 100%, $E$13)</f>
        <v>4.2606999999999999</v>
      </c>
      <c r="F156" s="67">
        <f>4.2607 * CHOOSE(CONTROL!$C$23, $C$13, 100%, $E$13)</f>
        <v>4.2606999999999999</v>
      </c>
      <c r="G156" s="67">
        <f>4.2674 * CHOOSE(CONTROL!$C$23, $C$13, 100%, $E$13)</f>
        <v>4.2674000000000003</v>
      </c>
      <c r="H156" s="67">
        <f>7.8793* CHOOSE(CONTROL!$C$23, $C$13, 100%, $E$13)</f>
        <v>7.8792999999999997</v>
      </c>
      <c r="I156" s="67">
        <f>7.886 * CHOOSE(CONTROL!$C$23, $C$13, 100%, $E$13)</f>
        <v>7.8860000000000001</v>
      </c>
      <c r="J156" s="67">
        <f>4.2607 * CHOOSE(CONTROL!$C$23, $C$13, 100%, $E$13)</f>
        <v>4.2606999999999999</v>
      </c>
      <c r="K156" s="67">
        <f>4.2674 * CHOOSE(CONTROL!$C$23, $C$13, 100%, $E$13)</f>
        <v>4.2674000000000003</v>
      </c>
      <c r="L156" s="4"/>
      <c r="M156" s="4"/>
      <c r="N156" s="4"/>
    </row>
    <row r="157" spans="1:14" ht="15">
      <c r="A157" s="13">
        <v>45901</v>
      </c>
      <c r="B157" s="66">
        <f>3.6025 * CHOOSE(CONTROL!$C$23, $C$13, 100%, $E$13)</f>
        <v>3.6025</v>
      </c>
      <c r="C157" s="66">
        <f>3.6025 * CHOOSE(CONTROL!$C$23, $C$13, 100%, $E$13)</f>
        <v>3.6025</v>
      </c>
      <c r="D157" s="66">
        <f>3.608 * CHOOSE(CONTROL!$C$23, $C$13, 100%, $E$13)</f>
        <v>3.6080000000000001</v>
      </c>
      <c r="E157" s="67">
        <f>4.2515 * CHOOSE(CONTROL!$C$23, $C$13, 100%, $E$13)</f>
        <v>4.2515000000000001</v>
      </c>
      <c r="F157" s="67">
        <f>4.2515 * CHOOSE(CONTROL!$C$23, $C$13, 100%, $E$13)</f>
        <v>4.2515000000000001</v>
      </c>
      <c r="G157" s="67">
        <f>4.2583 * CHOOSE(CONTROL!$C$23, $C$13, 100%, $E$13)</f>
        <v>4.2583000000000002</v>
      </c>
      <c r="H157" s="67">
        <f>7.8957* CHOOSE(CONTROL!$C$23, $C$13, 100%, $E$13)</f>
        <v>7.8956999999999997</v>
      </c>
      <c r="I157" s="67">
        <f>7.9024 * CHOOSE(CONTROL!$C$23, $C$13, 100%, $E$13)</f>
        <v>7.9024000000000001</v>
      </c>
      <c r="J157" s="67">
        <f>4.2515 * CHOOSE(CONTROL!$C$23, $C$13, 100%, $E$13)</f>
        <v>4.2515000000000001</v>
      </c>
      <c r="K157" s="67">
        <f>4.2583 * CHOOSE(CONTROL!$C$23, $C$13, 100%, $E$13)</f>
        <v>4.2583000000000002</v>
      </c>
      <c r="L157" s="4"/>
      <c r="M157" s="4"/>
      <c r="N157" s="4"/>
    </row>
    <row r="158" spans="1:14" ht="15">
      <c r="A158" s="13">
        <v>45931</v>
      </c>
      <c r="B158" s="66">
        <f>3.596 * CHOOSE(CONTROL!$C$23, $C$13, 100%, $E$13)</f>
        <v>3.5960000000000001</v>
      </c>
      <c r="C158" s="66">
        <f>3.596 * CHOOSE(CONTROL!$C$23, $C$13, 100%, $E$13)</f>
        <v>3.5960000000000001</v>
      </c>
      <c r="D158" s="66">
        <f>3.5998 * CHOOSE(CONTROL!$C$23, $C$13, 100%, $E$13)</f>
        <v>3.5998000000000001</v>
      </c>
      <c r="E158" s="67">
        <f>4.2663 * CHOOSE(CONTROL!$C$23, $C$13, 100%, $E$13)</f>
        <v>4.2663000000000002</v>
      </c>
      <c r="F158" s="67">
        <f>4.2663 * CHOOSE(CONTROL!$C$23, $C$13, 100%, $E$13)</f>
        <v>4.2663000000000002</v>
      </c>
      <c r="G158" s="67">
        <f>4.2711 * CHOOSE(CONTROL!$C$23, $C$13, 100%, $E$13)</f>
        <v>4.2710999999999997</v>
      </c>
      <c r="H158" s="67">
        <f>7.9121* CHOOSE(CONTROL!$C$23, $C$13, 100%, $E$13)</f>
        <v>7.9120999999999997</v>
      </c>
      <c r="I158" s="67">
        <f>7.9169 * CHOOSE(CONTROL!$C$23, $C$13, 100%, $E$13)</f>
        <v>7.9169</v>
      </c>
      <c r="J158" s="67">
        <f>4.2663 * CHOOSE(CONTROL!$C$23, $C$13, 100%, $E$13)</f>
        <v>4.2663000000000002</v>
      </c>
      <c r="K158" s="67">
        <f>4.2711 * CHOOSE(CONTROL!$C$23, $C$13, 100%, $E$13)</f>
        <v>4.2710999999999997</v>
      </c>
      <c r="L158" s="4"/>
      <c r="M158" s="4"/>
      <c r="N158" s="4"/>
    </row>
    <row r="159" spans="1:14" ht="15">
      <c r="A159" s="13">
        <v>45962</v>
      </c>
      <c r="B159" s="66">
        <f>3.599 * CHOOSE(CONTROL!$C$23, $C$13, 100%, $E$13)</f>
        <v>3.5990000000000002</v>
      </c>
      <c r="C159" s="66">
        <f>3.599 * CHOOSE(CONTROL!$C$23, $C$13, 100%, $E$13)</f>
        <v>3.5990000000000002</v>
      </c>
      <c r="D159" s="66">
        <f>3.6029 * CHOOSE(CONTROL!$C$23, $C$13, 100%, $E$13)</f>
        <v>3.6029</v>
      </c>
      <c r="E159" s="67">
        <f>4.2825 * CHOOSE(CONTROL!$C$23, $C$13, 100%, $E$13)</f>
        <v>4.2824999999999998</v>
      </c>
      <c r="F159" s="67">
        <f>4.2825 * CHOOSE(CONTROL!$C$23, $C$13, 100%, $E$13)</f>
        <v>4.2824999999999998</v>
      </c>
      <c r="G159" s="67">
        <f>4.2873 * CHOOSE(CONTROL!$C$23, $C$13, 100%, $E$13)</f>
        <v>4.2873000000000001</v>
      </c>
      <c r="H159" s="67">
        <f>7.9286* CHOOSE(CONTROL!$C$23, $C$13, 100%, $E$13)</f>
        <v>7.9286000000000003</v>
      </c>
      <c r="I159" s="67">
        <f>7.9334 * CHOOSE(CONTROL!$C$23, $C$13, 100%, $E$13)</f>
        <v>7.9333999999999998</v>
      </c>
      <c r="J159" s="67">
        <f>4.2825 * CHOOSE(CONTROL!$C$23, $C$13, 100%, $E$13)</f>
        <v>4.2824999999999998</v>
      </c>
      <c r="K159" s="67">
        <f>4.2873 * CHOOSE(CONTROL!$C$23, $C$13, 100%, $E$13)</f>
        <v>4.2873000000000001</v>
      </c>
    </row>
    <row r="160" spans="1:14" ht="15">
      <c r="A160" s="13">
        <v>45992</v>
      </c>
      <c r="B160" s="66">
        <f>3.599 * CHOOSE(CONTROL!$C$23, $C$13, 100%, $E$13)</f>
        <v>3.5990000000000002</v>
      </c>
      <c r="C160" s="66">
        <f>3.599 * CHOOSE(CONTROL!$C$23, $C$13, 100%, $E$13)</f>
        <v>3.5990000000000002</v>
      </c>
      <c r="D160" s="66">
        <f>3.6029 * CHOOSE(CONTROL!$C$23, $C$13, 100%, $E$13)</f>
        <v>3.6029</v>
      </c>
      <c r="E160" s="67">
        <f>4.2473 * CHOOSE(CONTROL!$C$23, $C$13, 100%, $E$13)</f>
        <v>4.2473000000000001</v>
      </c>
      <c r="F160" s="67">
        <f>4.2473 * CHOOSE(CONTROL!$C$23, $C$13, 100%, $E$13)</f>
        <v>4.2473000000000001</v>
      </c>
      <c r="G160" s="67">
        <f>4.252 * CHOOSE(CONTROL!$C$23, $C$13, 100%, $E$13)</f>
        <v>4.2519999999999998</v>
      </c>
      <c r="H160" s="67">
        <f>7.9451* CHOOSE(CONTROL!$C$23, $C$13, 100%, $E$13)</f>
        <v>7.9451000000000001</v>
      </c>
      <c r="I160" s="67">
        <f>7.9499 * CHOOSE(CONTROL!$C$23, $C$13, 100%, $E$13)</f>
        <v>7.9499000000000004</v>
      </c>
      <c r="J160" s="67">
        <f>4.2473 * CHOOSE(CONTROL!$C$23, $C$13, 100%, $E$13)</f>
        <v>4.2473000000000001</v>
      </c>
      <c r="K160" s="67">
        <f>4.252 * CHOOSE(CONTROL!$C$23, $C$13, 100%, $E$13)</f>
        <v>4.2519999999999998</v>
      </c>
    </row>
    <row r="161" spans="1:11" ht="15">
      <c r="A161" s="13">
        <v>46023</v>
      </c>
      <c r="B161" s="66">
        <f>3.6288 * CHOOSE(CONTROL!$C$23, $C$13, 100%, $E$13)</f>
        <v>3.6288</v>
      </c>
      <c r="C161" s="66">
        <f>3.6288 * CHOOSE(CONTROL!$C$23, $C$13, 100%, $E$13)</f>
        <v>3.6288</v>
      </c>
      <c r="D161" s="66">
        <f>3.6327 * CHOOSE(CONTROL!$C$23, $C$13, 100%, $E$13)</f>
        <v>3.6326999999999998</v>
      </c>
      <c r="E161" s="67">
        <f>4.3063 * CHOOSE(CONTROL!$C$23, $C$13, 100%, $E$13)</f>
        <v>4.3063000000000002</v>
      </c>
      <c r="F161" s="67">
        <f>4.3063 * CHOOSE(CONTROL!$C$23, $C$13, 100%, $E$13)</f>
        <v>4.3063000000000002</v>
      </c>
      <c r="G161" s="67">
        <f>4.3111 * CHOOSE(CONTROL!$C$23, $C$13, 100%, $E$13)</f>
        <v>4.3110999999999997</v>
      </c>
      <c r="H161" s="67">
        <f>7.9617* CHOOSE(CONTROL!$C$23, $C$13, 100%, $E$13)</f>
        <v>7.9617000000000004</v>
      </c>
      <c r="I161" s="67">
        <f>7.9665 * CHOOSE(CONTROL!$C$23, $C$13, 100%, $E$13)</f>
        <v>7.9664999999999999</v>
      </c>
      <c r="J161" s="67">
        <f>4.3063 * CHOOSE(CONTROL!$C$23, $C$13, 100%, $E$13)</f>
        <v>4.3063000000000002</v>
      </c>
      <c r="K161" s="67">
        <f>4.3111 * CHOOSE(CONTROL!$C$23, $C$13, 100%, $E$13)</f>
        <v>4.3110999999999997</v>
      </c>
    </row>
    <row r="162" spans="1:11" ht="15">
      <c r="A162" s="13">
        <v>46054</v>
      </c>
      <c r="B162" s="66">
        <f>3.6257 * CHOOSE(CONTROL!$C$23, $C$13, 100%, $E$13)</f>
        <v>3.6257000000000001</v>
      </c>
      <c r="C162" s="66">
        <f>3.6257 * CHOOSE(CONTROL!$C$23, $C$13, 100%, $E$13)</f>
        <v>3.6257000000000001</v>
      </c>
      <c r="D162" s="66">
        <f>3.6296 * CHOOSE(CONTROL!$C$23, $C$13, 100%, $E$13)</f>
        <v>3.6295999999999999</v>
      </c>
      <c r="E162" s="67">
        <f>4.236 * CHOOSE(CONTROL!$C$23, $C$13, 100%, $E$13)</f>
        <v>4.2359999999999998</v>
      </c>
      <c r="F162" s="67">
        <f>4.236 * CHOOSE(CONTROL!$C$23, $C$13, 100%, $E$13)</f>
        <v>4.2359999999999998</v>
      </c>
      <c r="G162" s="67">
        <f>4.2407 * CHOOSE(CONTROL!$C$23, $C$13, 100%, $E$13)</f>
        <v>4.2407000000000004</v>
      </c>
      <c r="H162" s="67">
        <f>7.9783* CHOOSE(CONTROL!$C$23, $C$13, 100%, $E$13)</f>
        <v>7.9782999999999999</v>
      </c>
      <c r="I162" s="67">
        <f>7.983 * CHOOSE(CONTROL!$C$23, $C$13, 100%, $E$13)</f>
        <v>7.9829999999999997</v>
      </c>
      <c r="J162" s="67">
        <f>4.236 * CHOOSE(CONTROL!$C$23, $C$13, 100%, $E$13)</f>
        <v>4.2359999999999998</v>
      </c>
      <c r="K162" s="67">
        <f>4.2407 * CHOOSE(CONTROL!$C$23, $C$13, 100%, $E$13)</f>
        <v>4.2407000000000004</v>
      </c>
    </row>
    <row r="163" spans="1:11" ht="15">
      <c r="A163" s="13">
        <v>46082</v>
      </c>
      <c r="B163" s="66">
        <f>3.6227 * CHOOSE(CONTROL!$C$23, $C$13, 100%, $E$13)</f>
        <v>3.6227</v>
      </c>
      <c r="C163" s="66">
        <f>3.6227 * CHOOSE(CONTROL!$C$23, $C$13, 100%, $E$13)</f>
        <v>3.6227</v>
      </c>
      <c r="D163" s="66">
        <f>3.6266 * CHOOSE(CONTROL!$C$23, $C$13, 100%, $E$13)</f>
        <v>3.6265999999999998</v>
      </c>
      <c r="E163" s="67">
        <f>4.2876 * CHOOSE(CONTROL!$C$23, $C$13, 100%, $E$13)</f>
        <v>4.2876000000000003</v>
      </c>
      <c r="F163" s="67">
        <f>4.2876 * CHOOSE(CONTROL!$C$23, $C$13, 100%, $E$13)</f>
        <v>4.2876000000000003</v>
      </c>
      <c r="G163" s="67">
        <f>4.2924 * CHOOSE(CONTROL!$C$23, $C$13, 100%, $E$13)</f>
        <v>4.2923999999999998</v>
      </c>
      <c r="H163" s="67">
        <f>7.9949* CHOOSE(CONTROL!$C$23, $C$13, 100%, $E$13)</f>
        <v>7.9949000000000003</v>
      </c>
      <c r="I163" s="67">
        <f>7.9997 * CHOOSE(CONTROL!$C$23, $C$13, 100%, $E$13)</f>
        <v>7.9996999999999998</v>
      </c>
      <c r="J163" s="67">
        <f>4.2876 * CHOOSE(CONTROL!$C$23, $C$13, 100%, $E$13)</f>
        <v>4.2876000000000003</v>
      </c>
      <c r="K163" s="67">
        <f>4.2924 * CHOOSE(CONTROL!$C$23, $C$13, 100%, $E$13)</f>
        <v>4.2923999999999998</v>
      </c>
    </row>
    <row r="164" spans="1:11" ht="15">
      <c r="A164" s="13">
        <v>46113</v>
      </c>
      <c r="B164" s="66">
        <f>3.62 * CHOOSE(CONTROL!$C$23, $C$13, 100%, $E$13)</f>
        <v>3.62</v>
      </c>
      <c r="C164" s="66">
        <f>3.62 * CHOOSE(CONTROL!$C$23, $C$13, 100%, $E$13)</f>
        <v>3.62</v>
      </c>
      <c r="D164" s="66">
        <f>3.6238 * CHOOSE(CONTROL!$C$23, $C$13, 100%, $E$13)</f>
        <v>3.6238000000000001</v>
      </c>
      <c r="E164" s="67">
        <f>4.3412 * CHOOSE(CONTROL!$C$23, $C$13, 100%, $E$13)</f>
        <v>4.3411999999999997</v>
      </c>
      <c r="F164" s="67">
        <f>4.3412 * CHOOSE(CONTROL!$C$23, $C$13, 100%, $E$13)</f>
        <v>4.3411999999999997</v>
      </c>
      <c r="G164" s="67">
        <f>4.3459 * CHOOSE(CONTROL!$C$23, $C$13, 100%, $E$13)</f>
        <v>4.3459000000000003</v>
      </c>
      <c r="H164" s="67">
        <f>8.0115* CHOOSE(CONTROL!$C$23, $C$13, 100%, $E$13)</f>
        <v>8.0114999999999998</v>
      </c>
      <c r="I164" s="67">
        <f>8.0163 * CHOOSE(CONTROL!$C$23, $C$13, 100%, $E$13)</f>
        <v>8.0162999999999993</v>
      </c>
      <c r="J164" s="67">
        <f>4.3412 * CHOOSE(CONTROL!$C$23, $C$13, 100%, $E$13)</f>
        <v>4.3411999999999997</v>
      </c>
      <c r="K164" s="67">
        <f>4.3459 * CHOOSE(CONTROL!$C$23, $C$13, 100%, $E$13)</f>
        <v>4.3459000000000003</v>
      </c>
    </row>
    <row r="165" spans="1:11" ht="15">
      <c r="A165" s="13">
        <v>46143</v>
      </c>
      <c r="B165" s="66">
        <f>3.62 * CHOOSE(CONTROL!$C$23, $C$13, 100%, $E$13)</f>
        <v>3.62</v>
      </c>
      <c r="C165" s="66">
        <f>3.62 * CHOOSE(CONTROL!$C$23, $C$13, 100%, $E$13)</f>
        <v>3.62</v>
      </c>
      <c r="D165" s="66">
        <f>3.6255 * CHOOSE(CONTROL!$C$23, $C$13, 100%, $E$13)</f>
        <v>3.6255000000000002</v>
      </c>
      <c r="E165" s="67">
        <f>4.3628 * CHOOSE(CONTROL!$C$23, $C$13, 100%, $E$13)</f>
        <v>4.3628</v>
      </c>
      <c r="F165" s="67">
        <f>4.3628 * CHOOSE(CONTROL!$C$23, $C$13, 100%, $E$13)</f>
        <v>4.3628</v>
      </c>
      <c r="G165" s="67">
        <f>4.3696 * CHOOSE(CONTROL!$C$23, $C$13, 100%, $E$13)</f>
        <v>4.3696000000000002</v>
      </c>
      <c r="H165" s="67">
        <f>8.0282* CHOOSE(CONTROL!$C$23, $C$13, 100%, $E$13)</f>
        <v>8.0282</v>
      </c>
      <c r="I165" s="67">
        <f>8.035 * CHOOSE(CONTROL!$C$23, $C$13, 100%, $E$13)</f>
        <v>8.0350000000000001</v>
      </c>
      <c r="J165" s="67">
        <f>4.3628 * CHOOSE(CONTROL!$C$23, $C$13, 100%, $E$13)</f>
        <v>4.3628</v>
      </c>
      <c r="K165" s="67">
        <f>4.3696 * CHOOSE(CONTROL!$C$23, $C$13, 100%, $E$13)</f>
        <v>4.3696000000000002</v>
      </c>
    </row>
    <row r="166" spans="1:11" ht="15">
      <c r="A166" s="13">
        <v>46174</v>
      </c>
      <c r="B166" s="66">
        <f>3.626 * CHOOSE(CONTROL!$C$23, $C$13, 100%, $E$13)</f>
        <v>3.6259999999999999</v>
      </c>
      <c r="C166" s="66">
        <f>3.626 * CHOOSE(CONTROL!$C$23, $C$13, 100%, $E$13)</f>
        <v>3.6259999999999999</v>
      </c>
      <c r="D166" s="66">
        <f>3.6315 * CHOOSE(CONTROL!$C$23, $C$13, 100%, $E$13)</f>
        <v>3.6315</v>
      </c>
      <c r="E166" s="67">
        <f>4.3454 * CHOOSE(CONTROL!$C$23, $C$13, 100%, $E$13)</f>
        <v>4.3453999999999997</v>
      </c>
      <c r="F166" s="67">
        <f>4.3454 * CHOOSE(CONTROL!$C$23, $C$13, 100%, $E$13)</f>
        <v>4.3453999999999997</v>
      </c>
      <c r="G166" s="67">
        <f>4.3521 * CHOOSE(CONTROL!$C$23, $C$13, 100%, $E$13)</f>
        <v>4.3521000000000001</v>
      </c>
      <c r="H166" s="67">
        <f>8.045* CHOOSE(CONTROL!$C$23, $C$13, 100%, $E$13)</f>
        <v>8.0449999999999999</v>
      </c>
      <c r="I166" s="67">
        <f>8.0517 * CHOOSE(CONTROL!$C$23, $C$13, 100%, $E$13)</f>
        <v>8.0517000000000003</v>
      </c>
      <c r="J166" s="67">
        <f>4.3454 * CHOOSE(CONTROL!$C$23, $C$13, 100%, $E$13)</f>
        <v>4.3453999999999997</v>
      </c>
      <c r="K166" s="67">
        <f>4.3521 * CHOOSE(CONTROL!$C$23, $C$13, 100%, $E$13)</f>
        <v>4.3521000000000001</v>
      </c>
    </row>
    <row r="167" spans="1:11" ht="15">
      <c r="A167" s="13">
        <v>46204</v>
      </c>
      <c r="B167" s="66">
        <f>3.6807 * CHOOSE(CONTROL!$C$23, $C$13, 100%, $E$13)</f>
        <v>3.6806999999999999</v>
      </c>
      <c r="C167" s="66">
        <f>3.6807 * CHOOSE(CONTROL!$C$23, $C$13, 100%, $E$13)</f>
        <v>3.6806999999999999</v>
      </c>
      <c r="D167" s="66">
        <f>3.6862 * CHOOSE(CONTROL!$C$23, $C$13, 100%, $E$13)</f>
        <v>3.6861999999999999</v>
      </c>
      <c r="E167" s="67">
        <f>4.4213 * CHOOSE(CONTROL!$C$23, $C$13, 100%, $E$13)</f>
        <v>4.4212999999999996</v>
      </c>
      <c r="F167" s="67">
        <f>4.4213 * CHOOSE(CONTROL!$C$23, $C$13, 100%, $E$13)</f>
        <v>4.4212999999999996</v>
      </c>
      <c r="G167" s="67">
        <f>4.428 * CHOOSE(CONTROL!$C$23, $C$13, 100%, $E$13)</f>
        <v>4.4279999999999999</v>
      </c>
      <c r="H167" s="67">
        <f>8.0617* CHOOSE(CONTROL!$C$23, $C$13, 100%, $E$13)</f>
        <v>8.0617000000000001</v>
      </c>
      <c r="I167" s="67">
        <f>8.0685 * CHOOSE(CONTROL!$C$23, $C$13, 100%, $E$13)</f>
        <v>8.0685000000000002</v>
      </c>
      <c r="J167" s="67">
        <f>4.4213 * CHOOSE(CONTROL!$C$23, $C$13, 100%, $E$13)</f>
        <v>4.4212999999999996</v>
      </c>
      <c r="K167" s="67">
        <f>4.428 * CHOOSE(CONTROL!$C$23, $C$13, 100%, $E$13)</f>
        <v>4.4279999999999999</v>
      </c>
    </row>
    <row r="168" spans="1:11" ht="15">
      <c r="A168" s="13">
        <v>46235</v>
      </c>
      <c r="B168" s="66">
        <f>3.6874 * CHOOSE(CONTROL!$C$23, $C$13, 100%, $E$13)</f>
        <v>3.6873999999999998</v>
      </c>
      <c r="C168" s="66">
        <f>3.6874 * CHOOSE(CONTROL!$C$23, $C$13, 100%, $E$13)</f>
        <v>3.6873999999999998</v>
      </c>
      <c r="D168" s="66">
        <f>3.6929 * CHOOSE(CONTROL!$C$23, $C$13, 100%, $E$13)</f>
        <v>3.6928999999999998</v>
      </c>
      <c r="E168" s="67">
        <f>4.3609 * CHOOSE(CONTROL!$C$23, $C$13, 100%, $E$13)</f>
        <v>4.3609</v>
      </c>
      <c r="F168" s="67">
        <f>4.3609 * CHOOSE(CONTROL!$C$23, $C$13, 100%, $E$13)</f>
        <v>4.3609</v>
      </c>
      <c r="G168" s="67">
        <f>4.3677 * CHOOSE(CONTROL!$C$23, $C$13, 100%, $E$13)</f>
        <v>4.3677000000000001</v>
      </c>
      <c r="H168" s="67">
        <f>8.0785* CHOOSE(CONTROL!$C$23, $C$13, 100%, $E$13)</f>
        <v>8.0785</v>
      </c>
      <c r="I168" s="67">
        <f>8.0853 * CHOOSE(CONTROL!$C$23, $C$13, 100%, $E$13)</f>
        <v>8.0853000000000002</v>
      </c>
      <c r="J168" s="67">
        <f>4.3609 * CHOOSE(CONTROL!$C$23, $C$13, 100%, $E$13)</f>
        <v>4.3609</v>
      </c>
      <c r="K168" s="67">
        <f>4.3677 * CHOOSE(CONTROL!$C$23, $C$13, 100%, $E$13)</f>
        <v>4.3677000000000001</v>
      </c>
    </row>
    <row r="169" spans="1:11" ht="15">
      <c r="A169" s="13">
        <v>46266</v>
      </c>
      <c r="B169" s="66">
        <f>3.6843 * CHOOSE(CONTROL!$C$23, $C$13, 100%, $E$13)</f>
        <v>3.6842999999999999</v>
      </c>
      <c r="C169" s="66">
        <f>3.6843 * CHOOSE(CONTROL!$C$23, $C$13, 100%, $E$13)</f>
        <v>3.6842999999999999</v>
      </c>
      <c r="D169" s="66">
        <f>3.6898 * CHOOSE(CONTROL!$C$23, $C$13, 100%, $E$13)</f>
        <v>3.6898</v>
      </c>
      <c r="E169" s="67">
        <f>4.3516 * CHOOSE(CONTROL!$C$23, $C$13, 100%, $E$13)</f>
        <v>4.3516000000000004</v>
      </c>
      <c r="F169" s="67">
        <f>4.3516 * CHOOSE(CONTROL!$C$23, $C$13, 100%, $E$13)</f>
        <v>4.3516000000000004</v>
      </c>
      <c r="G169" s="67">
        <f>4.3583 * CHOOSE(CONTROL!$C$23, $C$13, 100%, $E$13)</f>
        <v>4.3582999999999998</v>
      </c>
      <c r="H169" s="67">
        <f>8.0953* CHOOSE(CONTROL!$C$23, $C$13, 100%, $E$13)</f>
        <v>8.0952999999999999</v>
      </c>
      <c r="I169" s="67">
        <f>8.1021 * CHOOSE(CONTROL!$C$23, $C$13, 100%, $E$13)</f>
        <v>8.1021000000000001</v>
      </c>
      <c r="J169" s="67">
        <f>4.3516 * CHOOSE(CONTROL!$C$23, $C$13, 100%, $E$13)</f>
        <v>4.3516000000000004</v>
      </c>
      <c r="K169" s="67">
        <f>4.3583 * CHOOSE(CONTROL!$C$23, $C$13, 100%, $E$13)</f>
        <v>4.3582999999999998</v>
      </c>
    </row>
    <row r="170" spans="1:11" ht="15">
      <c r="A170" s="13">
        <v>46296</v>
      </c>
      <c r="B170" s="66">
        <f>3.6781 * CHOOSE(CONTROL!$C$23, $C$13, 100%, $E$13)</f>
        <v>3.6781000000000001</v>
      </c>
      <c r="C170" s="66">
        <f>3.6781 * CHOOSE(CONTROL!$C$23, $C$13, 100%, $E$13)</f>
        <v>3.6781000000000001</v>
      </c>
      <c r="D170" s="66">
        <f>3.682 * CHOOSE(CONTROL!$C$23, $C$13, 100%, $E$13)</f>
        <v>3.6819999999999999</v>
      </c>
      <c r="E170" s="67">
        <f>4.3671 * CHOOSE(CONTROL!$C$23, $C$13, 100%, $E$13)</f>
        <v>4.3670999999999998</v>
      </c>
      <c r="F170" s="67">
        <f>4.3671 * CHOOSE(CONTROL!$C$23, $C$13, 100%, $E$13)</f>
        <v>4.3670999999999998</v>
      </c>
      <c r="G170" s="67">
        <f>4.3718 * CHOOSE(CONTROL!$C$23, $C$13, 100%, $E$13)</f>
        <v>4.3718000000000004</v>
      </c>
      <c r="H170" s="67">
        <f>8.1122* CHOOSE(CONTROL!$C$23, $C$13, 100%, $E$13)</f>
        <v>8.1121999999999996</v>
      </c>
      <c r="I170" s="67">
        <f>8.117 * CHOOSE(CONTROL!$C$23, $C$13, 100%, $E$13)</f>
        <v>8.1170000000000009</v>
      </c>
      <c r="J170" s="67">
        <f>4.3671 * CHOOSE(CONTROL!$C$23, $C$13, 100%, $E$13)</f>
        <v>4.3670999999999998</v>
      </c>
      <c r="K170" s="67">
        <f>4.3718 * CHOOSE(CONTROL!$C$23, $C$13, 100%, $E$13)</f>
        <v>4.3718000000000004</v>
      </c>
    </row>
    <row r="171" spans="1:11" ht="15">
      <c r="A171" s="13">
        <v>46327</v>
      </c>
      <c r="B171" s="66">
        <f>3.6811 * CHOOSE(CONTROL!$C$23, $C$13, 100%, $E$13)</f>
        <v>3.6810999999999998</v>
      </c>
      <c r="C171" s="66">
        <f>3.6811 * CHOOSE(CONTROL!$C$23, $C$13, 100%, $E$13)</f>
        <v>3.6810999999999998</v>
      </c>
      <c r="D171" s="66">
        <f>3.685 * CHOOSE(CONTROL!$C$23, $C$13, 100%, $E$13)</f>
        <v>3.6850000000000001</v>
      </c>
      <c r="E171" s="67">
        <f>4.3836 * CHOOSE(CONTROL!$C$23, $C$13, 100%, $E$13)</f>
        <v>4.3836000000000004</v>
      </c>
      <c r="F171" s="67">
        <f>4.3836 * CHOOSE(CONTROL!$C$23, $C$13, 100%, $E$13)</f>
        <v>4.3836000000000004</v>
      </c>
      <c r="G171" s="67">
        <f>4.3884 * CHOOSE(CONTROL!$C$23, $C$13, 100%, $E$13)</f>
        <v>4.3883999999999999</v>
      </c>
      <c r="H171" s="67">
        <f>8.1291* CHOOSE(CONTROL!$C$23, $C$13, 100%, $E$13)</f>
        <v>8.1290999999999993</v>
      </c>
      <c r="I171" s="67">
        <f>8.1339 * CHOOSE(CONTROL!$C$23, $C$13, 100%, $E$13)</f>
        <v>8.1339000000000006</v>
      </c>
      <c r="J171" s="67">
        <f>4.3836 * CHOOSE(CONTROL!$C$23, $C$13, 100%, $E$13)</f>
        <v>4.3836000000000004</v>
      </c>
      <c r="K171" s="67">
        <f>4.3884 * CHOOSE(CONTROL!$C$23, $C$13, 100%, $E$13)</f>
        <v>4.3883999999999999</v>
      </c>
    </row>
    <row r="172" spans="1:11" ht="15">
      <c r="A172" s="13">
        <v>46357</v>
      </c>
      <c r="B172" s="66">
        <f>3.6811 * CHOOSE(CONTROL!$C$23, $C$13, 100%, $E$13)</f>
        <v>3.6810999999999998</v>
      </c>
      <c r="C172" s="66">
        <f>3.6811 * CHOOSE(CONTROL!$C$23, $C$13, 100%, $E$13)</f>
        <v>3.6810999999999998</v>
      </c>
      <c r="D172" s="66">
        <f>3.685 * CHOOSE(CONTROL!$C$23, $C$13, 100%, $E$13)</f>
        <v>3.6850000000000001</v>
      </c>
      <c r="E172" s="67">
        <f>4.3475 * CHOOSE(CONTROL!$C$23, $C$13, 100%, $E$13)</f>
        <v>4.3475000000000001</v>
      </c>
      <c r="F172" s="67">
        <f>4.3475 * CHOOSE(CONTROL!$C$23, $C$13, 100%, $E$13)</f>
        <v>4.3475000000000001</v>
      </c>
      <c r="G172" s="67">
        <f>4.3523 * CHOOSE(CONTROL!$C$23, $C$13, 100%, $E$13)</f>
        <v>4.3522999999999996</v>
      </c>
      <c r="H172" s="67">
        <f>8.146* CHOOSE(CONTROL!$C$23, $C$13, 100%, $E$13)</f>
        <v>8.1460000000000008</v>
      </c>
      <c r="I172" s="67">
        <f>8.1508 * CHOOSE(CONTROL!$C$23, $C$13, 100%, $E$13)</f>
        <v>8.1508000000000003</v>
      </c>
      <c r="J172" s="67">
        <f>4.3475 * CHOOSE(CONTROL!$C$23, $C$13, 100%, $E$13)</f>
        <v>4.3475000000000001</v>
      </c>
      <c r="K172" s="67">
        <f>4.3523 * CHOOSE(CONTROL!$C$23, $C$13, 100%, $E$13)</f>
        <v>4.3522999999999996</v>
      </c>
    </row>
    <row r="173" spans="1:11" ht="15">
      <c r="A173" s="13">
        <v>46388</v>
      </c>
      <c r="B173" s="66">
        <f>3.7098 * CHOOSE(CONTROL!$C$23, $C$13, 100%, $E$13)</f>
        <v>3.7098</v>
      </c>
      <c r="C173" s="66">
        <f>3.7098 * CHOOSE(CONTROL!$C$23, $C$13, 100%, $E$13)</f>
        <v>3.7098</v>
      </c>
      <c r="D173" s="66">
        <f>3.7136 * CHOOSE(CONTROL!$C$23, $C$13, 100%, $E$13)</f>
        <v>3.7136</v>
      </c>
      <c r="E173" s="67">
        <f>4.4079 * CHOOSE(CONTROL!$C$23, $C$13, 100%, $E$13)</f>
        <v>4.4078999999999997</v>
      </c>
      <c r="F173" s="67">
        <f>4.4079 * CHOOSE(CONTROL!$C$23, $C$13, 100%, $E$13)</f>
        <v>4.4078999999999997</v>
      </c>
      <c r="G173" s="67">
        <f>4.4127 * CHOOSE(CONTROL!$C$23, $C$13, 100%, $E$13)</f>
        <v>4.4127000000000001</v>
      </c>
      <c r="H173" s="67">
        <f>8.163* CHOOSE(CONTROL!$C$23, $C$13, 100%, $E$13)</f>
        <v>8.1630000000000003</v>
      </c>
      <c r="I173" s="67">
        <f>8.1678 * CHOOSE(CONTROL!$C$23, $C$13, 100%, $E$13)</f>
        <v>8.1677999999999997</v>
      </c>
      <c r="J173" s="67">
        <f>4.4079 * CHOOSE(CONTROL!$C$23, $C$13, 100%, $E$13)</f>
        <v>4.4078999999999997</v>
      </c>
      <c r="K173" s="67">
        <f>4.4127 * CHOOSE(CONTROL!$C$23, $C$13, 100%, $E$13)</f>
        <v>4.4127000000000001</v>
      </c>
    </row>
    <row r="174" spans="1:11" ht="15">
      <c r="A174" s="13">
        <v>46419</v>
      </c>
      <c r="B174" s="66">
        <f>3.7067 * CHOOSE(CONTROL!$C$23, $C$13, 100%, $E$13)</f>
        <v>3.7067000000000001</v>
      </c>
      <c r="C174" s="66">
        <f>3.7067 * CHOOSE(CONTROL!$C$23, $C$13, 100%, $E$13)</f>
        <v>3.7067000000000001</v>
      </c>
      <c r="D174" s="66">
        <f>3.7106 * CHOOSE(CONTROL!$C$23, $C$13, 100%, $E$13)</f>
        <v>3.7105999999999999</v>
      </c>
      <c r="E174" s="67">
        <f>4.3359 * CHOOSE(CONTROL!$C$23, $C$13, 100%, $E$13)</f>
        <v>4.3358999999999996</v>
      </c>
      <c r="F174" s="67">
        <f>4.3359 * CHOOSE(CONTROL!$C$23, $C$13, 100%, $E$13)</f>
        <v>4.3358999999999996</v>
      </c>
      <c r="G174" s="67">
        <f>4.3406 * CHOOSE(CONTROL!$C$23, $C$13, 100%, $E$13)</f>
        <v>4.3406000000000002</v>
      </c>
      <c r="H174" s="67">
        <f>8.18* CHOOSE(CONTROL!$C$23, $C$13, 100%, $E$13)</f>
        <v>8.18</v>
      </c>
      <c r="I174" s="67">
        <f>8.1848 * CHOOSE(CONTROL!$C$23, $C$13, 100%, $E$13)</f>
        <v>8.1847999999999992</v>
      </c>
      <c r="J174" s="67">
        <f>4.3359 * CHOOSE(CONTROL!$C$23, $C$13, 100%, $E$13)</f>
        <v>4.3358999999999996</v>
      </c>
      <c r="K174" s="67">
        <f>4.3406 * CHOOSE(CONTROL!$C$23, $C$13, 100%, $E$13)</f>
        <v>4.3406000000000002</v>
      </c>
    </row>
    <row r="175" spans="1:11" ht="15">
      <c r="A175" s="13">
        <v>46447</v>
      </c>
      <c r="B175" s="66">
        <f>3.7037 * CHOOSE(CONTROL!$C$23, $C$13, 100%, $E$13)</f>
        <v>3.7037</v>
      </c>
      <c r="C175" s="66">
        <f>3.7037 * CHOOSE(CONTROL!$C$23, $C$13, 100%, $E$13)</f>
        <v>3.7037</v>
      </c>
      <c r="D175" s="66">
        <f>3.7076 * CHOOSE(CONTROL!$C$23, $C$13, 100%, $E$13)</f>
        <v>3.7075999999999998</v>
      </c>
      <c r="E175" s="67">
        <f>4.3889 * CHOOSE(CONTROL!$C$23, $C$13, 100%, $E$13)</f>
        <v>4.3888999999999996</v>
      </c>
      <c r="F175" s="67">
        <f>4.3889 * CHOOSE(CONTROL!$C$23, $C$13, 100%, $E$13)</f>
        <v>4.3888999999999996</v>
      </c>
      <c r="G175" s="67">
        <f>4.3937 * CHOOSE(CONTROL!$C$23, $C$13, 100%, $E$13)</f>
        <v>4.3936999999999999</v>
      </c>
      <c r="H175" s="67">
        <f>8.1971* CHOOSE(CONTROL!$C$23, $C$13, 100%, $E$13)</f>
        <v>8.1971000000000007</v>
      </c>
      <c r="I175" s="67">
        <f>8.2018 * CHOOSE(CONTROL!$C$23, $C$13, 100%, $E$13)</f>
        <v>8.2018000000000004</v>
      </c>
      <c r="J175" s="67">
        <f>4.3889 * CHOOSE(CONTROL!$C$23, $C$13, 100%, $E$13)</f>
        <v>4.3888999999999996</v>
      </c>
      <c r="K175" s="67">
        <f>4.3937 * CHOOSE(CONTROL!$C$23, $C$13, 100%, $E$13)</f>
        <v>4.3936999999999999</v>
      </c>
    </row>
    <row r="176" spans="1:11" ht="15">
      <c r="A176" s="13">
        <v>46478</v>
      </c>
      <c r="B176" s="66">
        <f>3.701 * CHOOSE(CONTROL!$C$23, $C$13, 100%, $E$13)</f>
        <v>3.7010000000000001</v>
      </c>
      <c r="C176" s="66">
        <f>3.701 * CHOOSE(CONTROL!$C$23, $C$13, 100%, $E$13)</f>
        <v>3.7010000000000001</v>
      </c>
      <c r="D176" s="66">
        <f>3.7049 * CHOOSE(CONTROL!$C$23, $C$13, 100%, $E$13)</f>
        <v>3.7048999999999999</v>
      </c>
      <c r="E176" s="67">
        <f>4.4439 * CHOOSE(CONTROL!$C$23, $C$13, 100%, $E$13)</f>
        <v>4.4439000000000002</v>
      </c>
      <c r="F176" s="67">
        <f>4.4439 * CHOOSE(CONTROL!$C$23, $C$13, 100%, $E$13)</f>
        <v>4.4439000000000002</v>
      </c>
      <c r="G176" s="67">
        <f>4.4487 * CHOOSE(CONTROL!$C$23, $C$13, 100%, $E$13)</f>
        <v>4.4486999999999997</v>
      </c>
      <c r="H176" s="67">
        <f>8.2141* CHOOSE(CONTROL!$C$23, $C$13, 100%, $E$13)</f>
        <v>8.2141000000000002</v>
      </c>
      <c r="I176" s="67">
        <f>8.2189 * CHOOSE(CONTROL!$C$23, $C$13, 100%, $E$13)</f>
        <v>8.2188999999999997</v>
      </c>
      <c r="J176" s="67">
        <f>4.4439 * CHOOSE(CONTROL!$C$23, $C$13, 100%, $E$13)</f>
        <v>4.4439000000000002</v>
      </c>
      <c r="K176" s="67">
        <f>4.4487 * CHOOSE(CONTROL!$C$23, $C$13, 100%, $E$13)</f>
        <v>4.4486999999999997</v>
      </c>
    </row>
    <row r="177" spans="1:11" ht="15">
      <c r="A177" s="13">
        <v>46508</v>
      </c>
      <c r="B177" s="66">
        <f>3.701 * CHOOSE(CONTROL!$C$23, $C$13, 100%, $E$13)</f>
        <v>3.7010000000000001</v>
      </c>
      <c r="C177" s="66">
        <f>3.701 * CHOOSE(CONTROL!$C$23, $C$13, 100%, $E$13)</f>
        <v>3.7010000000000001</v>
      </c>
      <c r="D177" s="66">
        <f>3.7065 * CHOOSE(CONTROL!$C$23, $C$13, 100%, $E$13)</f>
        <v>3.7065000000000001</v>
      </c>
      <c r="E177" s="67">
        <f>4.4661 * CHOOSE(CONTROL!$C$23, $C$13, 100%, $E$13)</f>
        <v>4.4661</v>
      </c>
      <c r="F177" s="67">
        <f>4.4661 * CHOOSE(CONTROL!$C$23, $C$13, 100%, $E$13)</f>
        <v>4.4661</v>
      </c>
      <c r="G177" s="67">
        <f>4.4728 * CHOOSE(CONTROL!$C$23, $C$13, 100%, $E$13)</f>
        <v>4.4728000000000003</v>
      </c>
      <c r="H177" s="67">
        <f>8.2313* CHOOSE(CONTROL!$C$23, $C$13, 100%, $E$13)</f>
        <v>8.2312999999999992</v>
      </c>
      <c r="I177" s="67">
        <f>8.238 * CHOOSE(CONTROL!$C$23, $C$13, 100%, $E$13)</f>
        <v>8.2379999999999995</v>
      </c>
      <c r="J177" s="67">
        <f>4.4661 * CHOOSE(CONTROL!$C$23, $C$13, 100%, $E$13)</f>
        <v>4.4661</v>
      </c>
      <c r="K177" s="67">
        <f>4.4728 * CHOOSE(CONTROL!$C$23, $C$13, 100%, $E$13)</f>
        <v>4.4728000000000003</v>
      </c>
    </row>
    <row r="178" spans="1:11" ht="15">
      <c r="A178" s="13">
        <v>46539</v>
      </c>
      <c r="B178" s="66">
        <f>3.7071 * CHOOSE(CONTROL!$C$23, $C$13, 100%, $E$13)</f>
        <v>3.7071000000000001</v>
      </c>
      <c r="C178" s="66">
        <f>3.7071 * CHOOSE(CONTROL!$C$23, $C$13, 100%, $E$13)</f>
        <v>3.7071000000000001</v>
      </c>
      <c r="D178" s="66">
        <f>3.7126 * CHOOSE(CONTROL!$C$23, $C$13, 100%, $E$13)</f>
        <v>3.7126000000000001</v>
      </c>
      <c r="E178" s="67">
        <f>4.4481 * CHOOSE(CONTROL!$C$23, $C$13, 100%, $E$13)</f>
        <v>4.4481000000000002</v>
      </c>
      <c r="F178" s="67">
        <f>4.4481 * CHOOSE(CONTROL!$C$23, $C$13, 100%, $E$13)</f>
        <v>4.4481000000000002</v>
      </c>
      <c r="G178" s="67">
        <f>4.4549 * CHOOSE(CONTROL!$C$23, $C$13, 100%, $E$13)</f>
        <v>4.4549000000000003</v>
      </c>
      <c r="H178" s="67">
        <f>8.2484* CHOOSE(CONTROL!$C$23, $C$13, 100%, $E$13)</f>
        <v>8.2484000000000002</v>
      </c>
      <c r="I178" s="67">
        <f>8.2551 * CHOOSE(CONTROL!$C$23, $C$13, 100%, $E$13)</f>
        <v>8.2551000000000005</v>
      </c>
      <c r="J178" s="67">
        <f>4.4481 * CHOOSE(CONTROL!$C$23, $C$13, 100%, $E$13)</f>
        <v>4.4481000000000002</v>
      </c>
      <c r="K178" s="67">
        <f>4.4549 * CHOOSE(CONTROL!$C$23, $C$13, 100%, $E$13)</f>
        <v>4.4549000000000003</v>
      </c>
    </row>
    <row r="179" spans="1:11" ht="15">
      <c r="A179" s="13">
        <v>46569</v>
      </c>
      <c r="B179" s="66">
        <f>3.7587 * CHOOSE(CONTROL!$C$23, $C$13, 100%, $E$13)</f>
        <v>3.7587000000000002</v>
      </c>
      <c r="C179" s="66">
        <f>3.7587 * CHOOSE(CONTROL!$C$23, $C$13, 100%, $E$13)</f>
        <v>3.7587000000000002</v>
      </c>
      <c r="D179" s="66">
        <f>3.7642 * CHOOSE(CONTROL!$C$23, $C$13, 100%, $E$13)</f>
        <v>3.7642000000000002</v>
      </c>
      <c r="E179" s="67">
        <f>4.5253 * CHOOSE(CONTROL!$C$23, $C$13, 100%, $E$13)</f>
        <v>4.5252999999999997</v>
      </c>
      <c r="F179" s="67">
        <f>4.5253 * CHOOSE(CONTROL!$C$23, $C$13, 100%, $E$13)</f>
        <v>4.5252999999999997</v>
      </c>
      <c r="G179" s="67">
        <f>4.532 * CHOOSE(CONTROL!$C$23, $C$13, 100%, $E$13)</f>
        <v>4.532</v>
      </c>
      <c r="H179" s="67">
        <f>8.2656* CHOOSE(CONTROL!$C$23, $C$13, 100%, $E$13)</f>
        <v>8.2655999999999992</v>
      </c>
      <c r="I179" s="67">
        <f>8.2723 * CHOOSE(CONTROL!$C$23, $C$13, 100%, $E$13)</f>
        <v>8.2722999999999995</v>
      </c>
      <c r="J179" s="67">
        <f>4.5253 * CHOOSE(CONTROL!$C$23, $C$13, 100%, $E$13)</f>
        <v>4.5252999999999997</v>
      </c>
      <c r="K179" s="67">
        <f>4.532 * CHOOSE(CONTROL!$C$23, $C$13, 100%, $E$13)</f>
        <v>4.532</v>
      </c>
    </row>
    <row r="180" spans="1:11" ht="15">
      <c r="A180" s="13">
        <v>46600</v>
      </c>
      <c r="B180" s="66">
        <f>3.7654 * CHOOSE(CONTROL!$C$23, $C$13, 100%, $E$13)</f>
        <v>3.7654000000000001</v>
      </c>
      <c r="C180" s="66">
        <f>3.7654 * CHOOSE(CONTROL!$C$23, $C$13, 100%, $E$13)</f>
        <v>3.7654000000000001</v>
      </c>
      <c r="D180" s="66">
        <f>3.7709 * CHOOSE(CONTROL!$C$23, $C$13, 100%, $E$13)</f>
        <v>3.7709000000000001</v>
      </c>
      <c r="E180" s="67">
        <f>4.4633 * CHOOSE(CONTROL!$C$23, $C$13, 100%, $E$13)</f>
        <v>4.4633000000000003</v>
      </c>
      <c r="F180" s="67">
        <f>4.4633 * CHOOSE(CONTROL!$C$23, $C$13, 100%, $E$13)</f>
        <v>4.4633000000000003</v>
      </c>
      <c r="G180" s="67">
        <f>4.47 * CHOOSE(CONTROL!$C$23, $C$13, 100%, $E$13)</f>
        <v>4.47</v>
      </c>
      <c r="H180" s="67">
        <f>8.2828* CHOOSE(CONTROL!$C$23, $C$13, 100%, $E$13)</f>
        <v>8.2827999999999999</v>
      </c>
      <c r="I180" s="67">
        <f>8.2896 * CHOOSE(CONTROL!$C$23, $C$13, 100%, $E$13)</f>
        <v>8.2896000000000001</v>
      </c>
      <c r="J180" s="67">
        <f>4.4633 * CHOOSE(CONTROL!$C$23, $C$13, 100%, $E$13)</f>
        <v>4.4633000000000003</v>
      </c>
      <c r="K180" s="67">
        <f>4.47 * CHOOSE(CONTROL!$C$23, $C$13, 100%, $E$13)</f>
        <v>4.47</v>
      </c>
    </row>
    <row r="181" spans="1:11" ht="15">
      <c r="A181" s="13">
        <v>46631</v>
      </c>
      <c r="B181" s="66">
        <f>3.7623 * CHOOSE(CONTROL!$C$23, $C$13, 100%, $E$13)</f>
        <v>3.7623000000000002</v>
      </c>
      <c r="C181" s="66">
        <f>3.7623 * CHOOSE(CONTROL!$C$23, $C$13, 100%, $E$13)</f>
        <v>3.7623000000000002</v>
      </c>
      <c r="D181" s="66">
        <f>3.7678 * CHOOSE(CONTROL!$C$23, $C$13, 100%, $E$13)</f>
        <v>3.7677999999999998</v>
      </c>
      <c r="E181" s="67">
        <f>4.4538 * CHOOSE(CONTROL!$C$23, $C$13, 100%, $E$13)</f>
        <v>4.4538000000000002</v>
      </c>
      <c r="F181" s="67">
        <f>4.4538 * CHOOSE(CONTROL!$C$23, $C$13, 100%, $E$13)</f>
        <v>4.4538000000000002</v>
      </c>
      <c r="G181" s="67">
        <f>4.4605 * CHOOSE(CONTROL!$C$23, $C$13, 100%, $E$13)</f>
        <v>4.4604999999999997</v>
      </c>
      <c r="H181" s="67">
        <f>8.3001* CHOOSE(CONTROL!$C$23, $C$13, 100%, $E$13)</f>
        <v>8.3001000000000005</v>
      </c>
      <c r="I181" s="67">
        <f>8.3068 * CHOOSE(CONTROL!$C$23, $C$13, 100%, $E$13)</f>
        <v>8.3068000000000008</v>
      </c>
      <c r="J181" s="67">
        <f>4.4538 * CHOOSE(CONTROL!$C$23, $C$13, 100%, $E$13)</f>
        <v>4.4538000000000002</v>
      </c>
      <c r="K181" s="67">
        <f>4.4605 * CHOOSE(CONTROL!$C$23, $C$13, 100%, $E$13)</f>
        <v>4.4604999999999997</v>
      </c>
    </row>
    <row r="182" spans="1:11" ht="15">
      <c r="A182" s="13">
        <v>46661</v>
      </c>
      <c r="B182" s="66">
        <f>3.7564 * CHOOSE(CONTROL!$C$23, $C$13, 100%, $E$13)</f>
        <v>3.7564000000000002</v>
      </c>
      <c r="C182" s="66">
        <f>3.7564 * CHOOSE(CONTROL!$C$23, $C$13, 100%, $E$13)</f>
        <v>3.7564000000000002</v>
      </c>
      <c r="D182" s="66">
        <f>3.7603 * CHOOSE(CONTROL!$C$23, $C$13, 100%, $E$13)</f>
        <v>3.7603</v>
      </c>
      <c r="E182" s="67">
        <f>4.47 * CHOOSE(CONTROL!$C$23, $C$13, 100%, $E$13)</f>
        <v>4.47</v>
      </c>
      <c r="F182" s="67">
        <f>4.47 * CHOOSE(CONTROL!$C$23, $C$13, 100%, $E$13)</f>
        <v>4.47</v>
      </c>
      <c r="G182" s="67">
        <f>4.4748 * CHOOSE(CONTROL!$C$23, $C$13, 100%, $E$13)</f>
        <v>4.4748000000000001</v>
      </c>
      <c r="H182" s="67">
        <f>8.3174* CHOOSE(CONTROL!$C$23, $C$13, 100%, $E$13)</f>
        <v>8.3173999999999992</v>
      </c>
      <c r="I182" s="67">
        <f>8.3221 * CHOOSE(CONTROL!$C$23, $C$13, 100%, $E$13)</f>
        <v>8.3221000000000007</v>
      </c>
      <c r="J182" s="67">
        <f>4.47 * CHOOSE(CONTROL!$C$23, $C$13, 100%, $E$13)</f>
        <v>4.47</v>
      </c>
      <c r="K182" s="67">
        <f>4.4748 * CHOOSE(CONTROL!$C$23, $C$13, 100%, $E$13)</f>
        <v>4.4748000000000001</v>
      </c>
    </row>
    <row r="183" spans="1:11" ht="15">
      <c r="A183" s="13">
        <v>46692</v>
      </c>
      <c r="B183" s="66">
        <f>3.7595 * CHOOSE(CONTROL!$C$23, $C$13, 100%, $E$13)</f>
        <v>3.7595000000000001</v>
      </c>
      <c r="C183" s="66">
        <f>3.7595 * CHOOSE(CONTROL!$C$23, $C$13, 100%, $E$13)</f>
        <v>3.7595000000000001</v>
      </c>
      <c r="D183" s="66">
        <f>3.7633 * CHOOSE(CONTROL!$C$23, $C$13, 100%, $E$13)</f>
        <v>3.7633000000000001</v>
      </c>
      <c r="E183" s="67">
        <f>4.4869 * CHOOSE(CONTROL!$C$23, $C$13, 100%, $E$13)</f>
        <v>4.4869000000000003</v>
      </c>
      <c r="F183" s="67">
        <f>4.4869 * CHOOSE(CONTROL!$C$23, $C$13, 100%, $E$13)</f>
        <v>4.4869000000000003</v>
      </c>
      <c r="G183" s="67">
        <f>4.4917 * CHOOSE(CONTROL!$C$23, $C$13, 100%, $E$13)</f>
        <v>4.4916999999999998</v>
      </c>
      <c r="H183" s="67">
        <f>8.3347* CHOOSE(CONTROL!$C$23, $C$13, 100%, $E$13)</f>
        <v>8.3346999999999998</v>
      </c>
      <c r="I183" s="67">
        <f>8.3395 * CHOOSE(CONTROL!$C$23, $C$13, 100%, $E$13)</f>
        <v>8.3394999999999992</v>
      </c>
      <c r="J183" s="67">
        <f>4.4869 * CHOOSE(CONTROL!$C$23, $C$13, 100%, $E$13)</f>
        <v>4.4869000000000003</v>
      </c>
      <c r="K183" s="67">
        <f>4.4917 * CHOOSE(CONTROL!$C$23, $C$13, 100%, $E$13)</f>
        <v>4.4916999999999998</v>
      </c>
    </row>
    <row r="184" spans="1:11" ht="15">
      <c r="A184" s="13">
        <v>46722</v>
      </c>
      <c r="B184" s="66">
        <f>3.7595 * CHOOSE(CONTROL!$C$23, $C$13, 100%, $E$13)</f>
        <v>3.7595000000000001</v>
      </c>
      <c r="C184" s="66">
        <f>3.7595 * CHOOSE(CONTROL!$C$23, $C$13, 100%, $E$13)</f>
        <v>3.7595000000000001</v>
      </c>
      <c r="D184" s="66">
        <f>3.7633 * CHOOSE(CONTROL!$C$23, $C$13, 100%, $E$13)</f>
        <v>3.7633000000000001</v>
      </c>
      <c r="E184" s="67">
        <f>4.4499 * CHOOSE(CONTROL!$C$23, $C$13, 100%, $E$13)</f>
        <v>4.4499000000000004</v>
      </c>
      <c r="F184" s="67">
        <f>4.4499 * CHOOSE(CONTROL!$C$23, $C$13, 100%, $E$13)</f>
        <v>4.4499000000000004</v>
      </c>
      <c r="G184" s="67">
        <f>4.4547 * CHOOSE(CONTROL!$C$23, $C$13, 100%, $E$13)</f>
        <v>4.4546999999999999</v>
      </c>
      <c r="H184" s="67">
        <f>8.3521* CHOOSE(CONTROL!$C$23, $C$13, 100%, $E$13)</f>
        <v>8.3521000000000001</v>
      </c>
      <c r="I184" s="67">
        <f>8.3568 * CHOOSE(CONTROL!$C$23, $C$13, 100%, $E$13)</f>
        <v>8.3567999999999998</v>
      </c>
      <c r="J184" s="67">
        <f>4.4499 * CHOOSE(CONTROL!$C$23, $C$13, 100%, $E$13)</f>
        <v>4.4499000000000004</v>
      </c>
      <c r="K184" s="67">
        <f>4.4547 * CHOOSE(CONTROL!$C$23, $C$13, 100%, $E$13)</f>
        <v>4.4546999999999999</v>
      </c>
    </row>
    <row r="185" spans="1:11" ht="15">
      <c r="A185" s="13">
        <v>46753</v>
      </c>
      <c r="B185" s="66">
        <f>3.7926 * CHOOSE(CONTROL!$C$23, $C$13, 100%, $E$13)</f>
        <v>3.7926000000000002</v>
      </c>
      <c r="C185" s="66">
        <f>3.7926 * CHOOSE(CONTROL!$C$23, $C$13, 100%, $E$13)</f>
        <v>3.7926000000000002</v>
      </c>
      <c r="D185" s="66">
        <f>3.7965 * CHOOSE(CONTROL!$C$23, $C$13, 100%, $E$13)</f>
        <v>3.7965</v>
      </c>
      <c r="E185" s="67">
        <f>4.5119 * CHOOSE(CONTROL!$C$23, $C$13, 100%, $E$13)</f>
        <v>4.5118999999999998</v>
      </c>
      <c r="F185" s="67">
        <f>4.5119 * CHOOSE(CONTROL!$C$23, $C$13, 100%, $E$13)</f>
        <v>4.5118999999999998</v>
      </c>
      <c r="G185" s="67">
        <f>4.5167 * CHOOSE(CONTROL!$C$23, $C$13, 100%, $E$13)</f>
        <v>4.5167000000000002</v>
      </c>
      <c r="H185" s="67">
        <f>8.3695* CHOOSE(CONTROL!$C$23, $C$13, 100%, $E$13)</f>
        <v>8.3695000000000004</v>
      </c>
      <c r="I185" s="67">
        <f>8.3742 * CHOOSE(CONTROL!$C$23, $C$13, 100%, $E$13)</f>
        <v>8.3742000000000001</v>
      </c>
      <c r="J185" s="67">
        <f>4.5119 * CHOOSE(CONTROL!$C$23, $C$13, 100%, $E$13)</f>
        <v>4.5118999999999998</v>
      </c>
      <c r="K185" s="67">
        <f>4.5167 * CHOOSE(CONTROL!$C$23, $C$13, 100%, $E$13)</f>
        <v>4.5167000000000002</v>
      </c>
    </row>
    <row r="186" spans="1:11" ht="15">
      <c r="A186" s="13">
        <v>46784</v>
      </c>
      <c r="B186" s="66">
        <f>3.7896 * CHOOSE(CONTROL!$C$23, $C$13, 100%, $E$13)</f>
        <v>3.7896000000000001</v>
      </c>
      <c r="C186" s="66">
        <f>3.7896 * CHOOSE(CONTROL!$C$23, $C$13, 100%, $E$13)</f>
        <v>3.7896000000000001</v>
      </c>
      <c r="D186" s="66">
        <f>3.7934 * CHOOSE(CONTROL!$C$23, $C$13, 100%, $E$13)</f>
        <v>3.7934000000000001</v>
      </c>
      <c r="E186" s="67">
        <f>4.438 * CHOOSE(CONTROL!$C$23, $C$13, 100%, $E$13)</f>
        <v>4.4379999999999997</v>
      </c>
      <c r="F186" s="67">
        <f>4.438 * CHOOSE(CONTROL!$C$23, $C$13, 100%, $E$13)</f>
        <v>4.4379999999999997</v>
      </c>
      <c r="G186" s="67">
        <f>4.4428 * CHOOSE(CONTROL!$C$23, $C$13, 100%, $E$13)</f>
        <v>4.4428000000000001</v>
      </c>
      <c r="H186" s="67">
        <f>8.3869* CHOOSE(CONTROL!$C$23, $C$13, 100%, $E$13)</f>
        <v>8.3869000000000007</v>
      </c>
      <c r="I186" s="67">
        <f>8.3917 * CHOOSE(CONTROL!$C$23, $C$13, 100%, $E$13)</f>
        <v>8.3917000000000002</v>
      </c>
      <c r="J186" s="67">
        <f>4.438 * CHOOSE(CONTROL!$C$23, $C$13, 100%, $E$13)</f>
        <v>4.4379999999999997</v>
      </c>
      <c r="K186" s="67">
        <f>4.4428 * CHOOSE(CONTROL!$C$23, $C$13, 100%, $E$13)</f>
        <v>4.4428000000000001</v>
      </c>
    </row>
    <row r="187" spans="1:11" ht="15">
      <c r="A187" s="13">
        <v>46813</v>
      </c>
      <c r="B187" s="66">
        <f>3.7865 * CHOOSE(CONTROL!$C$23, $C$13, 100%, $E$13)</f>
        <v>3.7865000000000002</v>
      </c>
      <c r="C187" s="66">
        <f>3.7865 * CHOOSE(CONTROL!$C$23, $C$13, 100%, $E$13)</f>
        <v>3.7865000000000002</v>
      </c>
      <c r="D187" s="66">
        <f>3.7904 * CHOOSE(CONTROL!$C$23, $C$13, 100%, $E$13)</f>
        <v>3.7904</v>
      </c>
      <c r="E187" s="67">
        <f>4.4925 * CHOOSE(CONTROL!$C$23, $C$13, 100%, $E$13)</f>
        <v>4.4924999999999997</v>
      </c>
      <c r="F187" s="67">
        <f>4.4925 * CHOOSE(CONTROL!$C$23, $C$13, 100%, $E$13)</f>
        <v>4.4924999999999997</v>
      </c>
      <c r="G187" s="67">
        <f>4.4972 * CHOOSE(CONTROL!$C$23, $C$13, 100%, $E$13)</f>
        <v>4.4972000000000003</v>
      </c>
      <c r="H187" s="67">
        <f>8.4044* CHOOSE(CONTROL!$C$23, $C$13, 100%, $E$13)</f>
        <v>8.4044000000000008</v>
      </c>
      <c r="I187" s="67">
        <f>8.4091 * CHOOSE(CONTROL!$C$23, $C$13, 100%, $E$13)</f>
        <v>8.4091000000000005</v>
      </c>
      <c r="J187" s="67">
        <f>4.4925 * CHOOSE(CONTROL!$C$23, $C$13, 100%, $E$13)</f>
        <v>4.4924999999999997</v>
      </c>
      <c r="K187" s="67">
        <f>4.4972 * CHOOSE(CONTROL!$C$23, $C$13, 100%, $E$13)</f>
        <v>4.4972000000000003</v>
      </c>
    </row>
    <row r="188" spans="1:11" ht="15">
      <c r="A188" s="13">
        <v>46844</v>
      </c>
      <c r="B188" s="66">
        <f>3.7839 * CHOOSE(CONTROL!$C$23, $C$13, 100%, $E$13)</f>
        <v>3.7839</v>
      </c>
      <c r="C188" s="66">
        <f>3.7839 * CHOOSE(CONTROL!$C$23, $C$13, 100%, $E$13)</f>
        <v>3.7839</v>
      </c>
      <c r="D188" s="66">
        <f>3.7878 * CHOOSE(CONTROL!$C$23, $C$13, 100%, $E$13)</f>
        <v>3.7877999999999998</v>
      </c>
      <c r="E188" s="67">
        <f>4.549 * CHOOSE(CONTROL!$C$23, $C$13, 100%, $E$13)</f>
        <v>4.5490000000000004</v>
      </c>
      <c r="F188" s="67">
        <f>4.549 * CHOOSE(CONTROL!$C$23, $C$13, 100%, $E$13)</f>
        <v>4.5490000000000004</v>
      </c>
      <c r="G188" s="67">
        <f>4.5538 * CHOOSE(CONTROL!$C$23, $C$13, 100%, $E$13)</f>
        <v>4.5537999999999998</v>
      </c>
      <c r="H188" s="67">
        <f>8.4219* CHOOSE(CONTROL!$C$23, $C$13, 100%, $E$13)</f>
        <v>8.4219000000000008</v>
      </c>
      <c r="I188" s="67">
        <f>8.4266 * CHOOSE(CONTROL!$C$23, $C$13, 100%, $E$13)</f>
        <v>8.4266000000000005</v>
      </c>
      <c r="J188" s="67">
        <f>4.549 * CHOOSE(CONTROL!$C$23, $C$13, 100%, $E$13)</f>
        <v>4.5490000000000004</v>
      </c>
      <c r="K188" s="67">
        <f>4.5538 * CHOOSE(CONTROL!$C$23, $C$13, 100%, $E$13)</f>
        <v>4.5537999999999998</v>
      </c>
    </row>
    <row r="189" spans="1:11" ht="15">
      <c r="A189" s="13">
        <v>46874</v>
      </c>
      <c r="B189" s="66">
        <f>3.7839 * CHOOSE(CONTROL!$C$23, $C$13, 100%, $E$13)</f>
        <v>3.7839</v>
      </c>
      <c r="C189" s="66">
        <f>3.7839 * CHOOSE(CONTROL!$C$23, $C$13, 100%, $E$13)</f>
        <v>3.7839</v>
      </c>
      <c r="D189" s="66">
        <f>3.7894 * CHOOSE(CONTROL!$C$23, $C$13, 100%, $E$13)</f>
        <v>3.7894000000000001</v>
      </c>
      <c r="E189" s="67">
        <f>4.5718 * CHOOSE(CONTROL!$C$23, $C$13, 100%, $E$13)</f>
        <v>4.5717999999999996</v>
      </c>
      <c r="F189" s="67">
        <f>4.5718 * CHOOSE(CONTROL!$C$23, $C$13, 100%, $E$13)</f>
        <v>4.5717999999999996</v>
      </c>
      <c r="G189" s="67">
        <f>4.5785 * CHOOSE(CONTROL!$C$23, $C$13, 100%, $E$13)</f>
        <v>4.5785</v>
      </c>
      <c r="H189" s="67">
        <f>8.4394* CHOOSE(CONTROL!$C$23, $C$13, 100%, $E$13)</f>
        <v>8.4393999999999991</v>
      </c>
      <c r="I189" s="67">
        <f>8.4462 * CHOOSE(CONTROL!$C$23, $C$13, 100%, $E$13)</f>
        <v>8.4461999999999993</v>
      </c>
      <c r="J189" s="67">
        <f>4.5718 * CHOOSE(CONTROL!$C$23, $C$13, 100%, $E$13)</f>
        <v>4.5717999999999996</v>
      </c>
      <c r="K189" s="67">
        <f>4.5785 * CHOOSE(CONTROL!$C$23, $C$13, 100%, $E$13)</f>
        <v>4.5785</v>
      </c>
    </row>
    <row r="190" spans="1:11" ht="15">
      <c r="A190" s="13">
        <v>46905</v>
      </c>
      <c r="B190" s="66">
        <f>3.79 * CHOOSE(CONTROL!$C$23, $C$13, 100%, $E$13)</f>
        <v>3.79</v>
      </c>
      <c r="C190" s="66">
        <f>3.79 * CHOOSE(CONTROL!$C$23, $C$13, 100%, $E$13)</f>
        <v>3.79</v>
      </c>
      <c r="D190" s="66">
        <f>3.7955 * CHOOSE(CONTROL!$C$23, $C$13, 100%, $E$13)</f>
        <v>3.7955000000000001</v>
      </c>
      <c r="E190" s="67">
        <f>4.5532 * CHOOSE(CONTROL!$C$23, $C$13, 100%, $E$13)</f>
        <v>4.5532000000000004</v>
      </c>
      <c r="F190" s="67">
        <f>4.5532 * CHOOSE(CONTROL!$C$23, $C$13, 100%, $E$13)</f>
        <v>4.5532000000000004</v>
      </c>
      <c r="G190" s="67">
        <f>4.56 * CHOOSE(CONTROL!$C$23, $C$13, 100%, $E$13)</f>
        <v>4.5599999999999996</v>
      </c>
      <c r="H190" s="67">
        <f>8.457* CHOOSE(CONTROL!$C$23, $C$13, 100%, $E$13)</f>
        <v>8.4570000000000007</v>
      </c>
      <c r="I190" s="67">
        <f>8.4637 * CHOOSE(CONTROL!$C$23, $C$13, 100%, $E$13)</f>
        <v>8.4636999999999993</v>
      </c>
      <c r="J190" s="67">
        <f>4.5532 * CHOOSE(CONTROL!$C$23, $C$13, 100%, $E$13)</f>
        <v>4.5532000000000004</v>
      </c>
      <c r="K190" s="67">
        <f>4.56 * CHOOSE(CONTROL!$C$23, $C$13, 100%, $E$13)</f>
        <v>4.5599999999999996</v>
      </c>
    </row>
    <row r="191" spans="1:11" ht="15">
      <c r="A191" s="13">
        <v>46935</v>
      </c>
      <c r="B191" s="66">
        <f>3.8518 * CHOOSE(CONTROL!$C$23, $C$13, 100%, $E$13)</f>
        <v>3.8517999999999999</v>
      </c>
      <c r="C191" s="66">
        <f>3.8518 * CHOOSE(CONTROL!$C$23, $C$13, 100%, $E$13)</f>
        <v>3.8517999999999999</v>
      </c>
      <c r="D191" s="66">
        <f>3.8573 * CHOOSE(CONTROL!$C$23, $C$13, 100%, $E$13)</f>
        <v>3.8573</v>
      </c>
      <c r="E191" s="67">
        <f>4.6316 * CHOOSE(CONTROL!$C$23, $C$13, 100%, $E$13)</f>
        <v>4.6315999999999997</v>
      </c>
      <c r="F191" s="67">
        <f>4.6316 * CHOOSE(CONTROL!$C$23, $C$13, 100%, $E$13)</f>
        <v>4.6315999999999997</v>
      </c>
      <c r="G191" s="67">
        <f>4.6383 * CHOOSE(CONTROL!$C$23, $C$13, 100%, $E$13)</f>
        <v>4.6383000000000001</v>
      </c>
      <c r="H191" s="67">
        <f>8.4746* CHOOSE(CONTROL!$C$23, $C$13, 100%, $E$13)</f>
        <v>8.4746000000000006</v>
      </c>
      <c r="I191" s="67">
        <f>8.4814 * CHOOSE(CONTROL!$C$23, $C$13, 100%, $E$13)</f>
        <v>8.4814000000000007</v>
      </c>
      <c r="J191" s="67">
        <f>4.6316 * CHOOSE(CONTROL!$C$23, $C$13, 100%, $E$13)</f>
        <v>4.6315999999999997</v>
      </c>
      <c r="K191" s="67">
        <f>4.6383 * CHOOSE(CONTROL!$C$23, $C$13, 100%, $E$13)</f>
        <v>4.6383000000000001</v>
      </c>
    </row>
    <row r="192" spans="1:11" ht="15">
      <c r="A192" s="13">
        <v>46966</v>
      </c>
      <c r="B192" s="66">
        <f>3.8585 * CHOOSE(CONTROL!$C$23, $C$13, 100%, $E$13)</f>
        <v>3.8584999999999998</v>
      </c>
      <c r="C192" s="66">
        <f>3.8585 * CHOOSE(CONTROL!$C$23, $C$13, 100%, $E$13)</f>
        <v>3.8584999999999998</v>
      </c>
      <c r="D192" s="66">
        <f>3.864 * CHOOSE(CONTROL!$C$23, $C$13, 100%, $E$13)</f>
        <v>3.8639999999999999</v>
      </c>
      <c r="E192" s="67">
        <f>4.5679 * CHOOSE(CONTROL!$C$23, $C$13, 100%, $E$13)</f>
        <v>4.5678999999999998</v>
      </c>
      <c r="F192" s="67">
        <f>4.5679 * CHOOSE(CONTROL!$C$23, $C$13, 100%, $E$13)</f>
        <v>4.5678999999999998</v>
      </c>
      <c r="G192" s="67">
        <f>4.5746 * CHOOSE(CONTROL!$C$23, $C$13, 100%, $E$13)</f>
        <v>4.5746000000000002</v>
      </c>
      <c r="H192" s="67">
        <f>8.4923* CHOOSE(CONTROL!$C$23, $C$13, 100%, $E$13)</f>
        <v>8.4923000000000002</v>
      </c>
      <c r="I192" s="67">
        <f>8.499 * CHOOSE(CONTROL!$C$23, $C$13, 100%, $E$13)</f>
        <v>8.4990000000000006</v>
      </c>
      <c r="J192" s="67">
        <f>4.5679 * CHOOSE(CONTROL!$C$23, $C$13, 100%, $E$13)</f>
        <v>4.5678999999999998</v>
      </c>
      <c r="K192" s="67">
        <f>4.5746 * CHOOSE(CONTROL!$C$23, $C$13, 100%, $E$13)</f>
        <v>4.5746000000000002</v>
      </c>
    </row>
    <row r="193" spans="1:11" ht="15">
      <c r="A193" s="13">
        <v>46997</v>
      </c>
      <c r="B193" s="66">
        <f>3.8554 * CHOOSE(CONTROL!$C$23, $C$13, 100%, $E$13)</f>
        <v>3.8553999999999999</v>
      </c>
      <c r="C193" s="66">
        <f>3.8554 * CHOOSE(CONTROL!$C$23, $C$13, 100%, $E$13)</f>
        <v>3.8553999999999999</v>
      </c>
      <c r="D193" s="66">
        <f>3.8609 * CHOOSE(CONTROL!$C$23, $C$13, 100%, $E$13)</f>
        <v>3.8609</v>
      </c>
      <c r="E193" s="67">
        <f>4.5582 * CHOOSE(CONTROL!$C$23, $C$13, 100%, $E$13)</f>
        <v>4.5582000000000003</v>
      </c>
      <c r="F193" s="67">
        <f>4.5582 * CHOOSE(CONTROL!$C$23, $C$13, 100%, $E$13)</f>
        <v>4.5582000000000003</v>
      </c>
      <c r="G193" s="67">
        <f>4.5649 * CHOOSE(CONTROL!$C$23, $C$13, 100%, $E$13)</f>
        <v>4.5648999999999997</v>
      </c>
      <c r="H193" s="67">
        <f>8.51* CHOOSE(CONTROL!$C$23, $C$13, 100%, $E$13)</f>
        <v>8.51</v>
      </c>
      <c r="I193" s="67">
        <f>8.5167 * CHOOSE(CONTROL!$C$23, $C$13, 100%, $E$13)</f>
        <v>8.5167000000000002</v>
      </c>
      <c r="J193" s="67">
        <f>4.5582 * CHOOSE(CONTROL!$C$23, $C$13, 100%, $E$13)</f>
        <v>4.5582000000000003</v>
      </c>
      <c r="K193" s="67">
        <f>4.5649 * CHOOSE(CONTROL!$C$23, $C$13, 100%, $E$13)</f>
        <v>4.5648999999999997</v>
      </c>
    </row>
    <row r="194" spans="1:11" ht="15">
      <c r="A194" s="13">
        <v>47027</v>
      </c>
      <c r="B194" s="66">
        <f>3.8498 * CHOOSE(CONTROL!$C$23, $C$13, 100%, $E$13)</f>
        <v>3.8498000000000001</v>
      </c>
      <c r="C194" s="66">
        <f>3.8498 * CHOOSE(CONTROL!$C$23, $C$13, 100%, $E$13)</f>
        <v>3.8498000000000001</v>
      </c>
      <c r="D194" s="66">
        <f>3.8537 * CHOOSE(CONTROL!$C$23, $C$13, 100%, $E$13)</f>
        <v>3.8536999999999999</v>
      </c>
      <c r="E194" s="67">
        <f>4.5751 * CHOOSE(CONTROL!$C$23, $C$13, 100%, $E$13)</f>
        <v>4.5750999999999999</v>
      </c>
      <c r="F194" s="67">
        <f>4.5751 * CHOOSE(CONTROL!$C$23, $C$13, 100%, $E$13)</f>
        <v>4.5750999999999999</v>
      </c>
      <c r="G194" s="67">
        <f>4.5799 * CHOOSE(CONTROL!$C$23, $C$13, 100%, $E$13)</f>
        <v>4.5799000000000003</v>
      </c>
      <c r="H194" s="67">
        <f>8.5277* CHOOSE(CONTROL!$C$23, $C$13, 100%, $E$13)</f>
        <v>8.5276999999999994</v>
      </c>
      <c r="I194" s="67">
        <f>8.5325 * CHOOSE(CONTROL!$C$23, $C$13, 100%, $E$13)</f>
        <v>8.5325000000000006</v>
      </c>
      <c r="J194" s="67">
        <f>4.5751 * CHOOSE(CONTROL!$C$23, $C$13, 100%, $E$13)</f>
        <v>4.5750999999999999</v>
      </c>
      <c r="K194" s="67">
        <f>4.5799 * CHOOSE(CONTROL!$C$23, $C$13, 100%, $E$13)</f>
        <v>4.5799000000000003</v>
      </c>
    </row>
    <row r="195" spans="1:11" ht="15">
      <c r="A195" s="13">
        <v>47058</v>
      </c>
      <c r="B195" s="66">
        <f>3.8529 * CHOOSE(CONTROL!$C$23, $C$13, 100%, $E$13)</f>
        <v>3.8529</v>
      </c>
      <c r="C195" s="66">
        <f>3.8529 * CHOOSE(CONTROL!$C$23, $C$13, 100%, $E$13)</f>
        <v>3.8529</v>
      </c>
      <c r="D195" s="66">
        <f>3.8568 * CHOOSE(CONTROL!$C$23, $C$13, 100%, $E$13)</f>
        <v>3.8567999999999998</v>
      </c>
      <c r="E195" s="67">
        <f>4.5924 * CHOOSE(CONTROL!$C$23, $C$13, 100%, $E$13)</f>
        <v>4.5923999999999996</v>
      </c>
      <c r="F195" s="67">
        <f>4.5924 * CHOOSE(CONTROL!$C$23, $C$13, 100%, $E$13)</f>
        <v>4.5923999999999996</v>
      </c>
      <c r="G195" s="67">
        <f>4.5972 * CHOOSE(CONTROL!$C$23, $C$13, 100%, $E$13)</f>
        <v>4.5972</v>
      </c>
      <c r="H195" s="67">
        <f>8.5455* CHOOSE(CONTROL!$C$23, $C$13, 100%, $E$13)</f>
        <v>8.5455000000000005</v>
      </c>
      <c r="I195" s="67">
        <f>8.5502 * CHOOSE(CONTROL!$C$23, $C$13, 100%, $E$13)</f>
        <v>8.5502000000000002</v>
      </c>
      <c r="J195" s="67">
        <f>4.5924 * CHOOSE(CONTROL!$C$23, $C$13, 100%, $E$13)</f>
        <v>4.5923999999999996</v>
      </c>
      <c r="K195" s="67">
        <f>4.5972 * CHOOSE(CONTROL!$C$23, $C$13, 100%, $E$13)</f>
        <v>4.5972</v>
      </c>
    </row>
    <row r="196" spans="1:11" ht="15">
      <c r="A196" s="13">
        <v>47088</v>
      </c>
      <c r="B196" s="66">
        <f>3.8529 * CHOOSE(CONTROL!$C$23, $C$13, 100%, $E$13)</f>
        <v>3.8529</v>
      </c>
      <c r="C196" s="66">
        <f>3.8529 * CHOOSE(CONTROL!$C$23, $C$13, 100%, $E$13)</f>
        <v>3.8529</v>
      </c>
      <c r="D196" s="66">
        <f>3.8568 * CHOOSE(CONTROL!$C$23, $C$13, 100%, $E$13)</f>
        <v>3.8567999999999998</v>
      </c>
      <c r="E196" s="67">
        <f>4.5545 * CHOOSE(CONTROL!$C$23, $C$13, 100%, $E$13)</f>
        <v>4.5545</v>
      </c>
      <c r="F196" s="67">
        <f>4.5545 * CHOOSE(CONTROL!$C$23, $C$13, 100%, $E$13)</f>
        <v>4.5545</v>
      </c>
      <c r="G196" s="67">
        <f>4.5592 * CHOOSE(CONTROL!$C$23, $C$13, 100%, $E$13)</f>
        <v>4.5591999999999997</v>
      </c>
      <c r="H196" s="67">
        <f>8.5633* CHOOSE(CONTROL!$C$23, $C$13, 100%, $E$13)</f>
        <v>8.5632999999999999</v>
      </c>
      <c r="I196" s="67">
        <f>8.568 * CHOOSE(CONTROL!$C$23, $C$13, 100%, $E$13)</f>
        <v>8.5679999999999996</v>
      </c>
      <c r="J196" s="67">
        <f>4.5545 * CHOOSE(CONTROL!$C$23, $C$13, 100%, $E$13)</f>
        <v>4.5545</v>
      </c>
      <c r="K196" s="67">
        <f>4.5592 * CHOOSE(CONTROL!$C$23, $C$13, 100%, $E$13)</f>
        <v>4.5591999999999997</v>
      </c>
    </row>
    <row r="197" spans="1:11" ht="15">
      <c r="A197" s="13">
        <v>47119</v>
      </c>
      <c r="B197" s="66">
        <f>3.8828 * CHOOSE(CONTROL!$C$23, $C$13, 100%, $E$13)</f>
        <v>3.8828</v>
      </c>
      <c r="C197" s="66">
        <f>3.8828 * CHOOSE(CONTROL!$C$23, $C$13, 100%, $E$13)</f>
        <v>3.8828</v>
      </c>
      <c r="D197" s="66">
        <f>3.8867 * CHOOSE(CONTROL!$C$23, $C$13, 100%, $E$13)</f>
        <v>3.8866999999999998</v>
      </c>
      <c r="E197" s="67">
        <f>4.6181 * CHOOSE(CONTROL!$C$23, $C$13, 100%, $E$13)</f>
        <v>4.6181000000000001</v>
      </c>
      <c r="F197" s="67">
        <f>4.6181 * CHOOSE(CONTROL!$C$23, $C$13, 100%, $E$13)</f>
        <v>4.6181000000000001</v>
      </c>
      <c r="G197" s="67">
        <f>4.6229 * CHOOSE(CONTROL!$C$23, $C$13, 100%, $E$13)</f>
        <v>4.6228999999999996</v>
      </c>
      <c r="H197" s="67">
        <f>8.5811* CHOOSE(CONTROL!$C$23, $C$13, 100%, $E$13)</f>
        <v>8.5810999999999993</v>
      </c>
      <c r="I197" s="67">
        <f>8.5859 * CHOOSE(CONTROL!$C$23, $C$13, 100%, $E$13)</f>
        <v>8.5859000000000005</v>
      </c>
      <c r="J197" s="67">
        <f>4.6181 * CHOOSE(CONTROL!$C$23, $C$13, 100%, $E$13)</f>
        <v>4.6181000000000001</v>
      </c>
      <c r="K197" s="67">
        <f>4.6229 * CHOOSE(CONTROL!$C$23, $C$13, 100%, $E$13)</f>
        <v>4.6228999999999996</v>
      </c>
    </row>
    <row r="198" spans="1:11" ht="15">
      <c r="A198" s="13">
        <v>47150</v>
      </c>
      <c r="B198" s="66">
        <f>3.8798 * CHOOSE(CONTROL!$C$23, $C$13, 100%, $E$13)</f>
        <v>3.8797999999999999</v>
      </c>
      <c r="C198" s="66">
        <f>3.8798 * CHOOSE(CONTROL!$C$23, $C$13, 100%, $E$13)</f>
        <v>3.8797999999999999</v>
      </c>
      <c r="D198" s="66">
        <f>3.8837 * CHOOSE(CONTROL!$C$23, $C$13, 100%, $E$13)</f>
        <v>3.8837000000000002</v>
      </c>
      <c r="E198" s="67">
        <f>4.5424 * CHOOSE(CONTROL!$C$23, $C$13, 100%, $E$13)</f>
        <v>4.5423999999999998</v>
      </c>
      <c r="F198" s="67">
        <f>4.5424 * CHOOSE(CONTROL!$C$23, $C$13, 100%, $E$13)</f>
        <v>4.5423999999999998</v>
      </c>
      <c r="G198" s="67">
        <f>4.5471 * CHOOSE(CONTROL!$C$23, $C$13, 100%, $E$13)</f>
        <v>4.5471000000000004</v>
      </c>
      <c r="H198" s="67">
        <f>8.599* CHOOSE(CONTROL!$C$23, $C$13, 100%, $E$13)</f>
        <v>8.5990000000000002</v>
      </c>
      <c r="I198" s="67">
        <f>8.6037 * CHOOSE(CONTROL!$C$23, $C$13, 100%, $E$13)</f>
        <v>8.6036999999999999</v>
      </c>
      <c r="J198" s="67">
        <f>4.5424 * CHOOSE(CONTROL!$C$23, $C$13, 100%, $E$13)</f>
        <v>4.5423999999999998</v>
      </c>
      <c r="K198" s="67">
        <f>4.5471 * CHOOSE(CONTROL!$C$23, $C$13, 100%, $E$13)</f>
        <v>4.5471000000000004</v>
      </c>
    </row>
    <row r="199" spans="1:11" ht="15">
      <c r="A199" s="13">
        <v>47178</v>
      </c>
      <c r="B199" s="66">
        <f>3.8767 * CHOOSE(CONTROL!$C$23, $C$13, 100%, $E$13)</f>
        <v>3.8767</v>
      </c>
      <c r="C199" s="66">
        <f>3.8767 * CHOOSE(CONTROL!$C$23, $C$13, 100%, $E$13)</f>
        <v>3.8767</v>
      </c>
      <c r="D199" s="66">
        <f>3.8806 * CHOOSE(CONTROL!$C$23, $C$13, 100%, $E$13)</f>
        <v>3.8805999999999998</v>
      </c>
      <c r="E199" s="67">
        <f>4.5983 * CHOOSE(CONTROL!$C$23, $C$13, 100%, $E$13)</f>
        <v>4.5983000000000001</v>
      </c>
      <c r="F199" s="67">
        <f>4.5983 * CHOOSE(CONTROL!$C$23, $C$13, 100%, $E$13)</f>
        <v>4.5983000000000001</v>
      </c>
      <c r="G199" s="67">
        <f>4.603 * CHOOSE(CONTROL!$C$23, $C$13, 100%, $E$13)</f>
        <v>4.6029999999999998</v>
      </c>
      <c r="H199" s="67">
        <f>8.6169* CHOOSE(CONTROL!$C$23, $C$13, 100%, $E$13)</f>
        <v>8.6168999999999993</v>
      </c>
      <c r="I199" s="67">
        <f>8.6217 * CHOOSE(CONTROL!$C$23, $C$13, 100%, $E$13)</f>
        <v>8.6217000000000006</v>
      </c>
      <c r="J199" s="67">
        <f>4.5983 * CHOOSE(CONTROL!$C$23, $C$13, 100%, $E$13)</f>
        <v>4.5983000000000001</v>
      </c>
      <c r="K199" s="67">
        <f>4.603 * CHOOSE(CONTROL!$C$23, $C$13, 100%, $E$13)</f>
        <v>4.6029999999999998</v>
      </c>
    </row>
    <row r="200" spans="1:11" ht="15">
      <c r="A200" s="13">
        <v>47209</v>
      </c>
      <c r="B200" s="66">
        <f>3.8743 * CHOOSE(CONTROL!$C$23, $C$13, 100%, $E$13)</f>
        <v>3.8742999999999999</v>
      </c>
      <c r="C200" s="66">
        <f>3.8743 * CHOOSE(CONTROL!$C$23, $C$13, 100%, $E$13)</f>
        <v>3.8742999999999999</v>
      </c>
      <c r="D200" s="66">
        <f>3.8781 * CHOOSE(CONTROL!$C$23, $C$13, 100%, $E$13)</f>
        <v>3.8780999999999999</v>
      </c>
      <c r="E200" s="67">
        <f>4.6563 * CHOOSE(CONTROL!$C$23, $C$13, 100%, $E$13)</f>
        <v>4.6562999999999999</v>
      </c>
      <c r="F200" s="67">
        <f>4.6563 * CHOOSE(CONTROL!$C$23, $C$13, 100%, $E$13)</f>
        <v>4.6562999999999999</v>
      </c>
      <c r="G200" s="67">
        <f>4.6611 * CHOOSE(CONTROL!$C$23, $C$13, 100%, $E$13)</f>
        <v>4.6611000000000002</v>
      </c>
      <c r="H200" s="67">
        <f>8.6348* CHOOSE(CONTROL!$C$23, $C$13, 100%, $E$13)</f>
        <v>8.6348000000000003</v>
      </c>
      <c r="I200" s="67">
        <f>8.6396 * CHOOSE(CONTROL!$C$23, $C$13, 100%, $E$13)</f>
        <v>8.6395999999999997</v>
      </c>
      <c r="J200" s="67">
        <f>4.6563 * CHOOSE(CONTROL!$C$23, $C$13, 100%, $E$13)</f>
        <v>4.6562999999999999</v>
      </c>
      <c r="K200" s="67">
        <f>4.6611 * CHOOSE(CONTROL!$C$23, $C$13, 100%, $E$13)</f>
        <v>4.6611000000000002</v>
      </c>
    </row>
    <row r="201" spans="1:11" ht="15">
      <c r="A201" s="13">
        <v>47239</v>
      </c>
      <c r="B201" s="66">
        <f>3.8743 * CHOOSE(CONTROL!$C$23, $C$13, 100%, $E$13)</f>
        <v>3.8742999999999999</v>
      </c>
      <c r="C201" s="66">
        <f>3.8743 * CHOOSE(CONTROL!$C$23, $C$13, 100%, $E$13)</f>
        <v>3.8742999999999999</v>
      </c>
      <c r="D201" s="66">
        <f>3.8798 * CHOOSE(CONTROL!$C$23, $C$13, 100%, $E$13)</f>
        <v>3.8797999999999999</v>
      </c>
      <c r="E201" s="67">
        <f>4.6797 * CHOOSE(CONTROL!$C$23, $C$13, 100%, $E$13)</f>
        <v>4.6797000000000004</v>
      </c>
      <c r="F201" s="67">
        <f>4.6797 * CHOOSE(CONTROL!$C$23, $C$13, 100%, $E$13)</f>
        <v>4.6797000000000004</v>
      </c>
      <c r="G201" s="67">
        <f>4.6864 * CHOOSE(CONTROL!$C$23, $C$13, 100%, $E$13)</f>
        <v>4.6863999999999999</v>
      </c>
      <c r="H201" s="67">
        <f>8.6528* CHOOSE(CONTROL!$C$23, $C$13, 100%, $E$13)</f>
        <v>8.6527999999999992</v>
      </c>
      <c r="I201" s="67">
        <f>8.6596 * CHOOSE(CONTROL!$C$23, $C$13, 100%, $E$13)</f>
        <v>8.6595999999999993</v>
      </c>
      <c r="J201" s="67">
        <f>4.6797 * CHOOSE(CONTROL!$C$23, $C$13, 100%, $E$13)</f>
        <v>4.6797000000000004</v>
      </c>
      <c r="K201" s="67">
        <f>4.6864 * CHOOSE(CONTROL!$C$23, $C$13, 100%, $E$13)</f>
        <v>4.6863999999999999</v>
      </c>
    </row>
    <row r="202" spans="1:11" ht="15">
      <c r="A202" s="13">
        <v>47270</v>
      </c>
      <c r="B202" s="66">
        <f>3.8803 * CHOOSE(CONTROL!$C$23, $C$13, 100%, $E$13)</f>
        <v>3.8803000000000001</v>
      </c>
      <c r="C202" s="66">
        <f>3.8803 * CHOOSE(CONTROL!$C$23, $C$13, 100%, $E$13)</f>
        <v>3.8803000000000001</v>
      </c>
      <c r="D202" s="66">
        <f>3.8858 * CHOOSE(CONTROL!$C$23, $C$13, 100%, $E$13)</f>
        <v>3.8858000000000001</v>
      </c>
      <c r="E202" s="67">
        <f>4.6606 * CHOOSE(CONTROL!$C$23, $C$13, 100%, $E$13)</f>
        <v>4.6605999999999996</v>
      </c>
      <c r="F202" s="67">
        <f>4.6606 * CHOOSE(CONTROL!$C$23, $C$13, 100%, $E$13)</f>
        <v>4.6605999999999996</v>
      </c>
      <c r="G202" s="67">
        <f>4.6673 * CHOOSE(CONTROL!$C$23, $C$13, 100%, $E$13)</f>
        <v>4.6673</v>
      </c>
      <c r="H202" s="67">
        <f>8.6709* CHOOSE(CONTROL!$C$23, $C$13, 100%, $E$13)</f>
        <v>8.6708999999999996</v>
      </c>
      <c r="I202" s="67">
        <f>8.6776 * CHOOSE(CONTROL!$C$23, $C$13, 100%, $E$13)</f>
        <v>8.6776</v>
      </c>
      <c r="J202" s="67">
        <f>4.6606 * CHOOSE(CONTROL!$C$23, $C$13, 100%, $E$13)</f>
        <v>4.6605999999999996</v>
      </c>
      <c r="K202" s="67">
        <f>4.6673 * CHOOSE(CONTROL!$C$23, $C$13, 100%, $E$13)</f>
        <v>4.6673</v>
      </c>
    </row>
    <row r="203" spans="1:11" ht="15">
      <c r="A203" s="13">
        <v>47300</v>
      </c>
      <c r="B203" s="66">
        <f>3.9341 * CHOOSE(CONTROL!$C$23, $C$13, 100%, $E$13)</f>
        <v>3.9340999999999999</v>
      </c>
      <c r="C203" s="66">
        <f>3.9341 * CHOOSE(CONTROL!$C$23, $C$13, 100%, $E$13)</f>
        <v>3.9340999999999999</v>
      </c>
      <c r="D203" s="66">
        <f>3.9396 * CHOOSE(CONTROL!$C$23, $C$13, 100%, $E$13)</f>
        <v>3.9396</v>
      </c>
      <c r="E203" s="67">
        <f>4.7415 * CHOOSE(CONTROL!$C$23, $C$13, 100%, $E$13)</f>
        <v>4.7415000000000003</v>
      </c>
      <c r="F203" s="67">
        <f>4.7415 * CHOOSE(CONTROL!$C$23, $C$13, 100%, $E$13)</f>
        <v>4.7415000000000003</v>
      </c>
      <c r="G203" s="67">
        <f>4.7482 * CHOOSE(CONTROL!$C$23, $C$13, 100%, $E$13)</f>
        <v>4.7481999999999998</v>
      </c>
      <c r="H203" s="67">
        <f>8.6889* CHOOSE(CONTROL!$C$23, $C$13, 100%, $E$13)</f>
        <v>8.6889000000000003</v>
      </c>
      <c r="I203" s="67">
        <f>8.6957 * CHOOSE(CONTROL!$C$23, $C$13, 100%, $E$13)</f>
        <v>8.6957000000000004</v>
      </c>
      <c r="J203" s="67">
        <f>4.7415 * CHOOSE(CONTROL!$C$23, $C$13, 100%, $E$13)</f>
        <v>4.7415000000000003</v>
      </c>
      <c r="K203" s="67">
        <f>4.7482 * CHOOSE(CONTROL!$C$23, $C$13, 100%, $E$13)</f>
        <v>4.7481999999999998</v>
      </c>
    </row>
    <row r="204" spans="1:11" ht="15">
      <c r="A204" s="13">
        <v>47331</v>
      </c>
      <c r="B204" s="66">
        <f>3.9407 * CHOOSE(CONTROL!$C$23, $C$13, 100%, $E$13)</f>
        <v>3.9407000000000001</v>
      </c>
      <c r="C204" s="66">
        <f>3.9407 * CHOOSE(CONTROL!$C$23, $C$13, 100%, $E$13)</f>
        <v>3.9407000000000001</v>
      </c>
      <c r="D204" s="66">
        <f>3.9463 * CHOOSE(CONTROL!$C$23, $C$13, 100%, $E$13)</f>
        <v>3.9462999999999999</v>
      </c>
      <c r="E204" s="67">
        <f>4.676 * CHOOSE(CONTROL!$C$23, $C$13, 100%, $E$13)</f>
        <v>4.6760000000000002</v>
      </c>
      <c r="F204" s="67">
        <f>4.676 * CHOOSE(CONTROL!$C$23, $C$13, 100%, $E$13)</f>
        <v>4.6760000000000002</v>
      </c>
      <c r="G204" s="67">
        <f>4.6828 * CHOOSE(CONTROL!$C$23, $C$13, 100%, $E$13)</f>
        <v>4.6828000000000003</v>
      </c>
      <c r="H204" s="67">
        <f>8.707* CHOOSE(CONTROL!$C$23, $C$13, 100%, $E$13)</f>
        <v>8.7070000000000007</v>
      </c>
      <c r="I204" s="67">
        <f>8.7138 * CHOOSE(CONTROL!$C$23, $C$13, 100%, $E$13)</f>
        <v>8.7138000000000009</v>
      </c>
      <c r="J204" s="67">
        <f>4.676 * CHOOSE(CONTROL!$C$23, $C$13, 100%, $E$13)</f>
        <v>4.6760000000000002</v>
      </c>
      <c r="K204" s="67">
        <f>4.6828 * CHOOSE(CONTROL!$C$23, $C$13, 100%, $E$13)</f>
        <v>4.6828000000000003</v>
      </c>
    </row>
    <row r="205" spans="1:11" ht="15">
      <c r="A205" s="13">
        <v>47362</v>
      </c>
      <c r="B205" s="66">
        <f>3.9377 * CHOOSE(CONTROL!$C$23, $C$13, 100%, $E$13)</f>
        <v>3.9377</v>
      </c>
      <c r="C205" s="66">
        <f>3.9377 * CHOOSE(CONTROL!$C$23, $C$13, 100%, $E$13)</f>
        <v>3.9377</v>
      </c>
      <c r="D205" s="66">
        <f>3.9432 * CHOOSE(CONTROL!$C$23, $C$13, 100%, $E$13)</f>
        <v>3.9432</v>
      </c>
      <c r="E205" s="67">
        <f>4.6661 * CHOOSE(CONTROL!$C$23, $C$13, 100%, $E$13)</f>
        <v>4.6661000000000001</v>
      </c>
      <c r="F205" s="67">
        <f>4.6661 * CHOOSE(CONTROL!$C$23, $C$13, 100%, $E$13)</f>
        <v>4.6661000000000001</v>
      </c>
      <c r="G205" s="67">
        <f>4.6728 * CHOOSE(CONTROL!$C$23, $C$13, 100%, $E$13)</f>
        <v>4.6727999999999996</v>
      </c>
      <c r="H205" s="67">
        <f>8.7252* CHOOSE(CONTROL!$C$23, $C$13, 100%, $E$13)</f>
        <v>8.7251999999999992</v>
      </c>
      <c r="I205" s="67">
        <f>8.7319 * CHOOSE(CONTROL!$C$23, $C$13, 100%, $E$13)</f>
        <v>8.7318999999999996</v>
      </c>
      <c r="J205" s="67">
        <f>4.6661 * CHOOSE(CONTROL!$C$23, $C$13, 100%, $E$13)</f>
        <v>4.6661000000000001</v>
      </c>
      <c r="K205" s="67">
        <f>4.6728 * CHOOSE(CONTROL!$C$23, $C$13, 100%, $E$13)</f>
        <v>4.6727999999999996</v>
      </c>
    </row>
    <row r="206" spans="1:11" ht="15">
      <c r="A206" s="13">
        <v>47392</v>
      </c>
      <c r="B206" s="66">
        <f>3.9325 * CHOOSE(CONTROL!$C$23, $C$13, 100%, $E$13)</f>
        <v>3.9325000000000001</v>
      </c>
      <c r="C206" s="66">
        <f>3.9325 * CHOOSE(CONTROL!$C$23, $C$13, 100%, $E$13)</f>
        <v>3.9325000000000001</v>
      </c>
      <c r="D206" s="66">
        <f>3.9363 * CHOOSE(CONTROL!$C$23, $C$13, 100%, $E$13)</f>
        <v>3.9363000000000001</v>
      </c>
      <c r="E206" s="67">
        <f>4.6838 * CHOOSE(CONTROL!$C$23, $C$13, 100%, $E$13)</f>
        <v>4.6837999999999997</v>
      </c>
      <c r="F206" s="67">
        <f>4.6838 * CHOOSE(CONTROL!$C$23, $C$13, 100%, $E$13)</f>
        <v>4.6837999999999997</v>
      </c>
      <c r="G206" s="67">
        <f>4.6886 * CHOOSE(CONTROL!$C$23, $C$13, 100%, $E$13)</f>
        <v>4.6886000000000001</v>
      </c>
      <c r="H206" s="67">
        <f>8.7433* CHOOSE(CONTROL!$C$23, $C$13, 100%, $E$13)</f>
        <v>8.7432999999999996</v>
      </c>
      <c r="I206" s="67">
        <f>8.7481 * CHOOSE(CONTROL!$C$23, $C$13, 100%, $E$13)</f>
        <v>8.7481000000000009</v>
      </c>
      <c r="J206" s="67">
        <f>4.6838 * CHOOSE(CONTROL!$C$23, $C$13, 100%, $E$13)</f>
        <v>4.6837999999999997</v>
      </c>
      <c r="K206" s="67">
        <f>4.6886 * CHOOSE(CONTROL!$C$23, $C$13, 100%, $E$13)</f>
        <v>4.6886000000000001</v>
      </c>
    </row>
    <row r="207" spans="1:11" ht="15">
      <c r="A207" s="13">
        <v>47423</v>
      </c>
      <c r="B207" s="66">
        <f>3.9355 * CHOOSE(CONTROL!$C$23, $C$13, 100%, $E$13)</f>
        <v>3.9355000000000002</v>
      </c>
      <c r="C207" s="66">
        <f>3.9355 * CHOOSE(CONTROL!$C$23, $C$13, 100%, $E$13)</f>
        <v>3.9355000000000002</v>
      </c>
      <c r="D207" s="66">
        <f>3.9394 * CHOOSE(CONTROL!$C$23, $C$13, 100%, $E$13)</f>
        <v>3.9394</v>
      </c>
      <c r="E207" s="67">
        <f>4.7015 * CHOOSE(CONTROL!$C$23, $C$13, 100%, $E$13)</f>
        <v>4.7015000000000002</v>
      </c>
      <c r="F207" s="67">
        <f>4.7015 * CHOOSE(CONTROL!$C$23, $C$13, 100%, $E$13)</f>
        <v>4.7015000000000002</v>
      </c>
      <c r="G207" s="67">
        <f>4.7063 * CHOOSE(CONTROL!$C$23, $C$13, 100%, $E$13)</f>
        <v>4.7062999999999997</v>
      </c>
      <c r="H207" s="67">
        <f>8.7616* CHOOSE(CONTROL!$C$23, $C$13, 100%, $E$13)</f>
        <v>8.7615999999999996</v>
      </c>
      <c r="I207" s="67">
        <f>8.7663 * CHOOSE(CONTROL!$C$23, $C$13, 100%, $E$13)</f>
        <v>8.7662999999999993</v>
      </c>
      <c r="J207" s="67">
        <f>4.7015 * CHOOSE(CONTROL!$C$23, $C$13, 100%, $E$13)</f>
        <v>4.7015000000000002</v>
      </c>
      <c r="K207" s="67">
        <f>4.7063 * CHOOSE(CONTROL!$C$23, $C$13, 100%, $E$13)</f>
        <v>4.7062999999999997</v>
      </c>
    </row>
    <row r="208" spans="1:11" ht="15">
      <c r="A208" s="13">
        <v>47453</v>
      </c>
      <c r="B208" s="66">
        <f>3.9355 * CHOOSE(CONTROL!$C$23, $C$13, 100%, $E$13)</f>
        <v>3.9355000000000002</v>
      </c>
      <c r="C208" s="66">
        <f>3.9355 * CHOOSE(CONTROL!$C$23, $C$13, 100%, $E$13)</f>
        <v>3.9355000000000002</v>
      </c>
      <c r="D208" s="66">
        <f>3.9394 * CHOOSE(CONTROL!$C$23, $C$13, 100%, $E$13)</f>
        <v>3.9394</v>
      </c>
      <c r="E208" s="67">
        <f>4.6626 * CHOOSE(CONTROL!$C$23, $C$13, 100%, $E$13)</f>
        <v>4.6626000000000003</v>
      </c>
      <c r="F208" s="67">
        <f>4.6626 * CHOOSE(CONTROL!$C$23, $C$13, 100%, $E$13)</f>
        <v>4.6626000000000003</v>
      </c>
      <c r="G208" s="67">
        <f>4.6674 * CHOOSE(CONTROL!$C$23, $C$13, 100%, $E$13)</f>
        <v>4.6673999999999998</v>
      </c>
      <c r="H208" s="67">
        <f>8.7798* CHOOSE(CONTROL!$C$23, $C$13, 100%, $E$13)</f>
        <v>8.7797999999999998</v>
      </c>
      <c r="I208" s="67">
        <f>8.7846 * CHOOSE(CONTROL!$C$23, $C$13, 100%, $E$13)</f>
        <v>8.7845999999999993</v>
      </c>
      <c r="J208" s="67">
        <f>4.6626 * CHOOSE(CONTROL!$C$23, $C$13, 100%, $E$13)</f>
        <v>4.6626000000000003</v>
      </c>
      <c r="K208" s="67">
        <f>4.6674 * CHOOSE(CONTROL!$C$23, $C$13, 100%, $E$13)</f>
        <v>4.6673999999999998</v>
      </c>
    </row>
    <row r="209" spans="1:11" ht="15">
      <c r="A209" s="13">
        <v>47484</v>
      </c>
      <c r="B209" s="66">
        <f>3.9695 * CHOOSE(CONTROL!$C$23, $C$13, 100%, $E$13)</f>
        <v>3.9695</v>
      </c>
      <c r="C209" s="66">
        <f>3.9695 * CHOOSE(CONTROL!$C$23, $C$13, 100%, $E$13)</f>
        <v>3.9695</v>
      </c>
      <c r="D209" s="66">
        <f>3.9734 * CHOOSE(CONTROL!$C$23, $C$13, 100%, $E$13)</f>
        <v>3.9733999999999998</v>
      </c>
      <c r="E209" s="67">
        <f>4.7284 * CHOOSE(CONTROL!$C$23, $C$13, 100%, $E$13)</f>
        <v>4.7283999999999997</v>
      </c>
      <c r="F209" s="67">
        <f>4.7284 * CHOOSE(CONTROL!$C$23, $C$13, 100%, $E$13)</f>
        <v>4.7283999999999997</v>
      </c>
      <c r="G209" s="67">
        <f>4.7332 * CHOOSE(CONTROL!$C$23, $C$13, 100%, $E$13)</f>
        <v>4.7332000000000001</v>
      </c>
      <c r="H209" s="67">
        <f>8.7981* CHOOSE(CONTROL!$C$23, $C$13, 100%, $E$13)</f>
        <v>8.7980999999999998</v>
      </c>
      <c r="I209" s="67">
        <f>8.8029 * CHOOSE(CONTROL!$C$23, $C$13, 100%, $E$13)</f>
        <v>8.8028999999999993</v>
      </c>
      <c r="J209" s="67">
        <f>4.7284 * CHOOSE(CONTROL!$C$23, $C$13, 100%, $E$13)</f>
        <v>4.7283999999999997</v>
      </c>
      <c r="K209" s="67">
        <f>4.7332 * CHOOSE(CONTROL!$C$23, $C$13, 100%, $E$13)</f>
        <v>4.7332000000000001</v>
      </c>
    </row>
    <row r="210" spans="1:11" ht="15">
      <c r="A210" s="13">
        <v>47515</v>
      </c>
      <c r="B210" s="66">
        <f>3.9664 * CHOOSE(CONTROL!$C$23, $C$13, 100%, $E$13)</f>
        <v>3.9664000000000001</v>
      </c>
      <c r="C210" s="66">
        <f>3.9664 * CHOOSE(CONTROL!$C$23, $C$13, 100%, $E$13)</f>
        <v>3.9664000000000001</v>
      </c>
      <c r="D210" s="66">
        <f>3.9703 * CHOOSE(CONTROL!$C$23, $C$13, 100%, $E$13)</f>
        <v>3.9702999999999999</v>
      </c>
      <c r="E210" s="67">
        <f>4.6508 * CHOOSE(CONTROL!$C$23, $C$13, 100%, $E$13)</f>
        <v>4.6508000000000003</v>
      </c>
      <c r="F210" s="67">
        <f>4.6508 * CHOOSE(CONTROL!$C$23, $C$13, 100%, $E$13)</f>
        <v>4.6508000000000003</v>
      </c>
      <c r="G210" s="67">
        <f>4.6556 * CHOOSE(CONTROL!$C$23, $C$13, 100%, $E$13)</f>
        <v>4.6555999999999997</v>
      </c>
      <c r="H210" s="67">
        <f>8.8164* CHOOSE(CONTROL!$C$23, $C$13, 100%, $E$13)</f>
        <v>8.8163999999999998</v>
      </c>
      <c r="I210" s="67">
        <f>8.8212 * CHOOSE(CONTROL!$C$23, $C$13, 100%, $E$13)</f>
        <v>8.8211999999999993</v>
      </c>
      <c r="J210" s="67">
        <f>4.6508 * CHOOSE(CONTROL!$C$23, $C$13, 100%, $E$13)</f>
        <v>4.6508000000000003</v>
      </c>
      <c r="K210" s="67">
        <f>4.6556 * CHOOSE(CONTROL!$C$23, $C$13, 100%, $E$13)</f>
        <v>4.6555999999999997</v>
      </c>
    </row>
    <row r="211" spans="1:11" ht="15">
      <c r="A211" s="13">
        <v>47543</v>
      </c>
      <c r="B211" s="66">
        <f>3.9634 * CHOOSE(CONTROL!$C$23, $C$13, 100%, $E$13)</f>
        <v>3.9634</v>
      </c>
      <c r="C211" s="66">
        <f>3.9634 * CHOOSE(CONTROL!$C$23, $C$13, 100%, $E$13)</f>
        <v>3.9634</v>
      </c>
      <c r="D211" s="66">
        <f>3.9673 * CHOOSE(CONTROL!$C$23, $C$13, 100%, $E$13)</f>
        <v>3.9672999999999998</v>
      </c>
      <c r="E211" s="67">
        <f>4.7082 * CHOOSE(CONTROL!$C$23, $C$13, 100%, $E$13)</f>
        <v>4.7081999999999997</v>
      </c>
      <c r="F211" s="67">
        <f>4.7082 * CHOOSE(CONTROL!$C$23, $C$13, 100%, $E$13)</f>
        <v>4.7081999999999997</v>
      </c>
      <c r="G211" s="67">
        <f>4.713 * CHOOSE(CONTROL!$C$23, $C$13, 100%, $E$13)</f>
        <v>4.7130000000000001</v>
      </c>
      <c r="H211" s="67">
        <f>8.8348* CHOOSE(CONTROL!$C$23, $C$13, 100%, $E$13)</f>
        <v>8.8347999999999995</v>
      </c>
      <c r="I211" s="67">
        <f>8.8396 * CHOOSE(CONTROL!$C$23, $C$13, 100%, $E$13)</f>
        <v>8.8396000000000008</v>
      </c>
      <c r="J211" s="67">
        <f>4.7082 * CHOOSE(CONTROL!$C$23, $C$13, 100%, $E$13)</f>
        <v>4.7081999999999997</v>
      </c>
      <c r="K211" s="67">
        <f>4.713 * CHOOSE(CONTROL!$C$23, $C$13, 100%, $E$13)</f>
        <v>4.7130000000000001</v>
      </c>
    </row>
    <row r="212" spans="1:11" ht="15">
      <c r="A212" s="13">
        <v>47574</v>
      </c>
      <c r="B212" s="66">
        <f>3.961 * CHOOSE(CONTROL!$C$23, $C$13, 100%, $E$13)</f>
        <v>3.9609999999999999</v>
      </c>
      <c r="C212" s="66">
        <f>3.961 * CHOOSE(CONTROL!$C$23, $C$13, 100%, $E$13)</f>
        <v>3.9609999999999999</v>
      </c>
      <c r="D212" s="66">
        <f>3.9649 * CHOOSE(CONTROL!$C$23, $C$13, 100%, $E$13)</f>
        <v>3.9649000000000001</v>
      </c>
      <c r="E212" s="67">
        <f>4.7679 * CHOOSE(CONTROL!$C$23, $C$13, 100%, $E$13)</f>
        <v>4.7679</v>
      </c>
      <c r="F212" s="67">
        <f>4.7679 * CHOOSE(CONTROL!$C$23, $C$13, 100%, $E$13)</f>
        <v>4.7679</v>
      </c>
      <c r="G212" s="67">
        <f>4.7726 * CHOOSE(CONTROL!$C$23, $C$13, 100%, $E$13)</f>
        <v>4.7725999999999997</v>
      </c>
      <c r="H212" s="67">
        <f>8.8532* CHOOSE(CONTROL!$C$23, $C$13, 100%, $E$13)</f>
        <v>8.8531999999999993</v>
      </c>
      <c r="I212" s="67">
        <f>8.858 * CHOOSE(CONTROL!$C$23, $C$13, 100%, $E$13)</f>
        <v>8.8580000000000005</v>
      </c>
      <c r="J212" s="67">
        <f>4.7679 * CHOOSE(CONTROL!$C$23, $C$13, 100%, $E$13)</f>
        <v>4.7679</v>
      </c>
      <c r="K212" s="67">
        <f>4.7726 * CHOOSE(CONTROL!$C$23, $C$13, 100%, $E$13)</f>
        <v>4.7725999999999997</v>
      </c>
    </row>
    <row r="213" spans="1:11" ht="15">
      <c r="A213" s="13">
        <v>47604</v>
      </c>
      <c r="B213" s="66">
        <f>3.961 * CHOOSE(CONTROL!$C$23, $C$13, 100%, $E$13)</f>
        <v>3.9609999999999999</v>
      </c>
      <c r="C213" s="66">
        <f>3.961 * CHOOSE(CONTROL!$C$23, $C$13, 100%, $E$13)</f>
        <v>3.9609999999999999</v>
      </c>
      <c r="D213" s="66">
        <f>3.9665 * CHOOSE(CONTROL!$C$23, $C$13, 100%, $E$13)</f>
        <v>3.9664999999999999</v>
      </c>
      <c r="E213" s="67">
        <f>4.7918 * CHOOSE(CONTROL!$C$23, $C$13, 100%, $E$13)</f>
        <v>4.7918000000000003</v>
      </c>
      <c r="F213" s="67">
        <f>4.7918 * CHOOSE(CONTROL!$C$23, $C$13, 100%, $E$13)</f>
        <v>4.7918000000000003</v>
      </c>
      <c r="G213" s="67">
        <f>4.7986 * CHOOSE(CONTROL!$C$23, $C$13, 100%, $E$13)</f>
        <v>4.7986000000000004</v>
      </c>
      <c r="H213" s="67">
        <f>8.8717* CHOOSE(CONTROL!$C$23, $C$13, 100%, $E$13)</f>
        <v>8.8717000000000006</v>
      </c>
      <c r="I213" s="67">
        <f>8.8784 * CHOOSE(CONTROL!$C$23, $C$13, 100%, $E$13)</f>
        <v>8.8783999999999992</v>
      </c>
      <c r="J213" s="67">
        <f>4.7918 * CHOOSE(CONTROL!$C$23, $C$13, 100%, $E$13)</f>
        <v>4.7918000000000003</v>
      </c>
      <c r="K213" s="67">
        <f>4.7986 * CHOOSE(CONTROL!$C$23, $C$13, 100%, $E$13)</f>
        <v>4.7986000000000004</v>
      </c>
    </row>
    <row r="214" spans="1:11" ht="15">
      <c r="A214" s="13">
        <v>47635</v>
      </c>
      <c r="B214" s="66">
        <f>3.9671 * CHOOSE(CONTROL!$C$23, $C$13, 100%, $E$13)</f>
        <v>3.9670999999999998</v>
      </c>
      <c r="C214" s="66">
        <f>3.9671 * CHOOSE(CONTROL!$C$23, $C$13, 100%, $E$13)</f>
        <v>3.9670999999999998</v>
      </c>
      <c r="D214" s="66">
        <f>3.9726 * CHOOSE(CONTROL!$C$23, $C$13, 100%, $E$13)</f>
        <v>3.9725999999999999</v>
      </c>
      <c r="E214" s="67">
        <f>4.7721 * CHOOSE(CONTROL!$C$23, $C$13, 100%, $E$13)</f>
        <v>4.7721</v>
      </c>
      <c r="F214" s="67">
        <f>4.7721 * CHOOSE(CONTROL!$C$23, $C$13, 100%, $E$13)</f>
        <v>4.7721</v>
      </c>
      <c r="G214" s="67">
        <f>4.7789 * CHOOSE(CONTROL!$C$23, $C$13, 100%, $E$13)</f>
        <v>4.7789000000000001</v>
      </c>
      <c r="H214" s="67">
        <f>8.8901* CHOOSE(CONTROL!$C$23, $C$13, 100%, $E$13)</f>
        <v>8.8901000000000003</v>
      </c>
      <c r="I214" s="67">
        <f>8.8969 * CHOOSE(CONTROL!$C$23, $C$13, 100%, $E$13)</f>
        <v>8.8969000000000005</v>
      </c>
      <c r="J214" s="67">
        <f>4.7721 * CHOOSE(CONTROL!$C$23, $C$13, 100%, $E$13)</f>
        <v>4.7721</v>
      </c>
      <c r="K214" s="67">
        <f>4.7789 * CHOOSE(CONTROL!$C$23, $C$13, 100%, $E$13)</f>
        <v>4.7789000000000001</v>
      </c>
    </row>
    <row r="215" spans="1:11" ht="15">
      <c r="A215" s="13">
        <v>47665</v>
      </c>
      <c r="B215" s="66">
        <f>4.0298 * CHOOSE(CONTROL!$C$23, $C$13, 100%, $E$13)</f>
        <v>4.0297999999999998</v>
      </c>
      <c r="C215" s="66">
        <f>4.0298 * CHOOSE(CONTROL!$C$23, $C$13, 100%, $E$13)</f>
        <v>4.0297999999999998</v>
      </c>
      <c r="D215" s="66">
        <f>4.0353 * CHOOSE(CONTROL!$C$23, $C$13, 100%, $E$13)</f>
        <v>4.0353000000000003</v>
      </c>
      <c r="E215" s="67">
        <f>4.8562 * CHOOSE(CONTROL!$C$23, $C$13, 100%, $E$13)</f>
        <v>4.8562000000000003</v>
      </c>
      <c r="F215" s="67">
        <f>4.8562 * CHOOSE(CONTROL!$C$23, $C$13, 100%, $E$13)</f>
        <v>4.8562000000000003</v>
      </c>
      <c r="G215" s="67">
        <f>4.8629 * CHOOSE(CONTROL!$C$23, $C$13, 100%, $E$13)</f>
        <v>4.8628999999999998</v>
      </c>
      <c r="H215" s="67">
        <f>8.9087* CHOOSE(CONTROL!$C$23, $C$13, 100%, $E$13)</f>
        <v>8.9086999999999996</v>
      </c>
      <c r="I215" s="67">
        <f>8.9154 * CHOOSE(CONTROL!$C$23, $C$13, 100%, $E$13)</f>
        <v>8.9154</v>
      </c>
      <c r="J215" s="67">
        <f>4.8562 * CHOOSE(CONTROL!$C$23, $C$13, 100%, $E$13)</f>
        <v>4.8562000000000003</v>
      </c>
      <c r="K215" s="67">
        <f>4.8629 * CHOOSE(CONTROL!$C$23, $C$13, 100%, $E$13)</f>
        <v>4.8628999999999998</v>
      </c>
    </row>
    <row r="216" spans="1:11" ht="15">
      <c r="A216" s="13">
        <v>47696</v>
      </c>
      <c r="B216" s="66">
        <f>4.0365 * CHOOSE(CONTROL!$C$23, $C$13, 100%, $E$13)</f>
        <v>4.0365000000000002</v>
      </c>
      <c r="C216" s="66">
        <f>4.0365 * CHOOSE(CONTROL!$C$23, $C$13, 100%, $E$13)</f>
        <v>4.0365000000000002</v>
      </c>
      <c r="D216" s="66">
        <f>4.042 * CHOOSE(CONTROL!$C$23, $C$13, 100%, $E$13)</f>
        <v>4.0419999999999998</v>
      </c>
      <c r="E216" s="67">
        <f>4.7889 * CHOOSE(CONTROL!$C$23, $C$13, 100%, $E$13)</f>
        <v>4.7888999999999999</v>
      </c>
      <c r="F216" s="67">
        <f>4.7889 * CHOOSE(CONTROL!$C$23, $C$13, 100%, $E$13)</f>
        <v>4.7888999999999999</v>
      </c>
      <c r="G216" s="67">
        <f>4.7957 * CHOOSE(CONTROL!$C$23, $C$13, 100%, $E$13)</f>
        <v>4.7957000000000001</v>
      </c>
      <c r="H216" s="67">
        <f>8.9272* CHOOSE(CONTROL!$C$23, $C$13, 100%, $E$13)</f>
        <v>8.9271999999999991</v>
      </c>
      <c r="I216" s="67">
        <f>8.934 * CHOOSE(CONTROL!$C$23, $C$13, 100%, $E$13)</f>
        <v>8.9339999999999993</v>
      </c>
      <c r="J216" s="67">
        <f>4.7889 * CHOOSE(CONTROL!$C$23, $C$13, 100%, $E$13)</f>
        <v>4.7888999999999999</v>
      </c>
      <c r="K216" s="67">
        <f>4.7957 * CHOOSE(CONTROL!$C$23, $C$13, 100%, $E$13)</f>
        <v>4.7957000000000001</v>
      </c>
    </row>
    <row r="217" spans="1:11" ht="15">
      <c r="A217" s="13">
        <v>47727</v>
      </c>
      <c r="B217" s="66">
        <f>4.0334 * CHOOSE(CONTROL!$C$23, $C$13, 100%, $E$13)</f>
        <v>4.0334000000000003</v>
      </c>
      <c r="C217" s="66">
        <f>4.0334 * CHOOSE(CONTROL!$C$23, $C$13, 100%, $E$13)</f>
        <v>4.0334000000000003</v>
      </c>
      <c r="D217" s="66">
        <f>4.0389 * CHOOSE(CONTROL!$C$23, $C$13, 100%, $E$13)</f>
        <v>4.0388999999999999</v>
      </c>
      <c r="E217" s="67">
        <f>4.7788 * CHOOSE(CONTROL!$C$23, $C$13, 100%, $E$13)</f>
        <v>4.7788000000000004</v>
      </c>
      <c r="F217" s="67">
        <f>4.7788 * CHOOSE(CONTROL!$C$23, $C$13, 100%, $E$13)</f>
        <v>4.7788000000000004</v>
      </c>
      <c r="G217" s="67">
        <f>4.7856 * CHOOSE(CONTROL!$C$23, $C$13, 100%, $E$13)</f>
        <v>4.7855999999999996</v>
      </c>
      <c r="H217" s="67">
        <f>8.9458* CHOOSE(CONTROL!$C$23, $C$13, 100%, $E$13)</f>
        <v>8.9458000000000002</v>
      </c>
      <c r="I217" s="67">
        <f>8.9526 * CHOOSE(CONTROL!$C$23, $C$13, 100%, $E$13)</f>
        <v>8.9526000000000003</v>
      </c>
      <c r="J217" s="67">
        <f>4.7788 * CHOOSE(CONTROL!$C$23, $C$13, 100%, $E$13)</f>
        <v>4.7788000000000004</v>
      </c>
      <c r="K217" s="67">
        <f>4.7856 * CHOOSE(CONTROL!$C$23, $C$13, 100%, $E$13)</f>
        <v>4.7855999999999996</v>
      </c>
    </row>
    <row r="218" spans="1:11" ht="15">
      <c r="A218" s="13">
        <v>47757</v>
      </c>
      <c r="B218" s="66">
        <f>4.0286 * CHOOSE(CONTROL!$C$23, $C$13, 100%, $E$13)</f>
        <v>4.0286</v>
      </c>
      <c r="C218" s="66">
        <f>4.0286 * CHOOSE(CONTROL!$C$23, $C$13, 100%, $E$13)</f>
        <v>4.0286</v>
      </c>
      <c r="D218" s="66">
        <f>4.0324 * CHOOSE(CONTROL!$C$23, $C$13, 100%, $E$13)</f>
        <v>4.0324</v>
      </c>
      <c r="E218" s="67">
        <f>4.7974 * CHOOSE(CONTROL!$C$23, $C$13, 100%, $E$13)</f>
        <v>4.7973999999999997</v>
      </c>
      <c r="F218" s="67">
        <f>4.7974 * CHOOSE(CONTROL!$C$23, $C$13, 100%, $E$13)</f>
        <v>4.7973999999999997</v>
      </c>
      <c r="G218" s="67">
        <f>4.8021 * CHOOSE(CONTROL!$C$23, $C$13, 100%, $E$13)</f>
        <v>4.8021000000000003</v>
      </c>
      <c r="H218" s="67">
        <f>8.9645* CHOOSE(CONTROL!$C$23, $C$13, 100%, $E$13)</f>
        <v>8.9644999999999992</v>
      </c>
      <c r="I218" s="67">
        <f>8.9692 * CHOOSE(CONTROL!$C$23, $C$13, 100%, $E$13)</f>
        <v>8.9692000000000007</v>
      </c>
      <c r="J218" s="67">
        <f>4.7974 * CHOOSE(CONTROL!$C$23, $C$13, 100%, $E$13)</f>
        <v>4.7973999999999997</v>
      </c>
      <c r="K218" s="67">
        <f>4.8021 * CHOOSE(CONTROL!$C$23, $C$13, 100%, $E$13)</f>
        <v>4.8021000000000003</v>
      </c>
    </row>
    <row r="219" spans="1:11" ht="15">
      <c r="A219" s="13">
        <v>47788</v>
      </c>
      <c r="B219" s="66">
        <f>4.0316 * CHOOSE(CONTROL!$C$23, $C$13, 100%, $E$13)</f>
        <v>4.0316000000000001</v>
      </c>
      <c r="C219" s="66">
        <f>4.0316 * CHOOSE(CONTROL!$C$23, $C$13, 100%, $E$13)</f>
        <v>4.0316000000000001</v>
      </c>
      <c r="D219" s="66">
        <f>4.0355 * CHOOSE(CONTROL!$C$23, $C$13, 100%, $E$13)</f>
        <v>4.0354999999999999</v>
      </c>
      <c r="E219" s="67">
        <f>4.8155 * CHOOSE(CONTROL!$C$23, $C$13, 100%, $E$13)</f>
        <v>4.8155000000000001</v>
      </c>
      <c r="F219" s="67">
        <f>4.8155 * CHOOSE(CONTROL!$C$23, $C$13, 100%, $E$13)</f>
        <v>4.8155000000000001</v>
      </c>
      <c r="G219" s="67">
        <f>4.8202 * CHOOSE(CONTROL!$C$23, $C$13, 100%, $E$13)</f>
        <v>4.8201999999999998</v>
      </c>
      <c r="H219" s="67">
        <f>8.9831* CHOOSE(CONTROL!$C$23, $C$13, 100%, $E$13)</f>
        <v>8.9831000000000003</v>
      </c>
      <c r="I219" s="67">
        <f>8.9879 * CHOOSE(CONTROL!$C$23, $C$13, 100%, $E$13)</f>
        <v>8.9878999999999998</v>
      </c>
      <c r="J219" s="67">
        <f>4.8155 * CHOOSE(CONTROL!$C$23, $C$13, 100%, $E$13)</f>
        <v>4.8155000000000001</v>
      </c>
      <c r="K219" s="67">
        <f>4.8202 * CHOOSE(CONTROL!$C$23, $C$13, 100%, $E$13)</f>
        <v>4.8201999999999998</v>
      </c>
    </row>
    <row r="220" spans="1:11" ht="15">
      <c r="A220" s="13">
        <v>47818</v>
      </c>
      <c r="B220" s="66">
        <f>4.0316 * CHOOSE(CONTROL!$C$23, $C$13, 100%, $E$13)</f>
        <v>4.0316000000000001</v>
      </c>
      <c r="C220" s="66">
        <f>4.0316 * CHOOSE(CONTROL!$C$23, $C$13, 100%, $E$13)</f>
        <v>4.0316000000000001</v>
      </c>
      <c r="D220" s="66">
        <f>4.0355 * CHOOSE(CONTROL!$C$23, $C$13, 100%, $E$13)</f>
        <v>4.0354999999999999</v>
      </c>
      <c r="E220" s="67">
        <f>4.7755 * CHOOSE(CONTROL!$C$23, $C$13, 100%, $E$13)</f>
        <v>4.7755000000000001</v>
      </c>
      <c r="F220" s="67">
        <f>4.7755 * CHOOSE(CONTROL!$C$23, $C$13, 100%, $E$13)</f>
        <v>4.7755000000000001</v>
      </c>
      <c r="G220" s="67">
        <f>4.7803 * CHOOSE(CONTROL!$C$23, $C$13, 100%, $E$13)</f>
        <v>4.7803000000000004</v>
      </c>
      <c r="H220" s="67">
        <f>9.0018* CHOOSE(CONTROL!$C$23, $C$13, 100%, $E$13)</f>
        <v>9.0017999999999994</v>
      </c>
      <c r="I220" s="67">
        <f>9.0066 * CHOOSE(CONTROL!$C$23, $C$13, 100%, $E$13)</f>
        <v>9.0066000000000006</v>
      </c>
      <c r="J220" s="67">
        <f>4.7755 * CHOOSE(CONTROL!$C$23, $C$13, 100%, $E$13)</f>
        <v>4.7755000000000001</v>
      </c>
      <c r="K220" s="67">
        <f>4.7803 * CHOOSE(CONTROL!$C$23, $C$13, 100%, $E$13)</f>
        <v>4.7803000000000004</v>
      </c>
    </row>
    <row r="221" spans="1:11" ht="15">
      <c r="A221" s="13">
        <v>47849</v>
      </c>
      <c r="B221" s="66">
        <f>4.065 * CHOOSE(CONTROL!$C$23, $C$13, 100%, $E$13)</f>
        <v>4.0650000000000004</v>
      </c>
      <c r="C221" s="66">
        <f>4.065 * CHOOSE(CONTROL!$C$23, $C$13, 100%, $E$13)</f>
        <v>4.0650000000000004</v>
      </c>
      <c r="D221" s="66">
        <f>4.0689 * CHOOSE(CONTROL!$C$23, $C$13, 100%, $E$13)</f>
        <v>4.0689000000000002</v>
      </c>
      <c r="E221" s="67">
        <f>4.8568 * CHOOSE(CONTROL!$C$23, $C$13, 100%, $E$13)</f>
        <v>4.8567999999999998</v>
      </c>
      <c r="F221" s="67">
        <f>4.8568 * CHOOSE(CONTROL!$C$23, $C$13, 100%, $E$13)</f>
        <v>4.8567999999999998</v>
      </c>
      <c r="G221" s="67">
        <f>4.8616 * CHOOSE(CONTROL!$C$23, $C$13, 100%, $E$13)</f>
        <v>4.8616000000000001</v>
      </c>
      <c r="H221" s="67">
        <f>9.0206* CHOOSE(CONTROL!$C$23, $C$13, 100%, $E$13)</f>
        <v>9.0206</v>
      </c>
      <c r="I221" s="67">
        <f>9.0254 * CHOOSE(CONTROL!$C$23, $C$13, 100%, $E$13)</f>
        <v>9.0253999999999994</v>
      </c>
      <c r="J221" s="67">
        <f>4.8568 * CHOOSE(CONTROL!$C$23, $C$13, 100%, $E$13)</f>
        <v>4.8567999999999998</v>
      </c>
      <c r="K221" s="67">
        <f>4.8616 * CHOOSE(CONTROL!$C$23, $C$13, 100%, $E$13)</f>
        <v>4.8616000000000001</v>
      </c>
    </row>
    <row r="222" spans="1:11" ht="15">
      <c r="A222" s="13">
        <v>47880</v>
      </c>
      <c r="B222" s="66">
        <f>4.062 * CHOOSE(CONTROL!$C$23, $C$13, 100%, $E$13)</f>
        <v>4.0620000000000003</v>
      </c>
      <c r="C222" s="66">
        <f>4.062 * CHOOSE(CONTROL!$C$23, $C$13, 100%, $E$13)</f>
        <v>4.0620000000000003</v>
      </c>
      <c r="D222" s="66">
        <f>4.0659 * CHOOSE(CONTROL!$C$23, $C$13, 100%, $E$13)</f>
        <v>4.0659000000000001</v>
      </c>
      <c r="E222" s="67">
        <f>4.7772 * CHOOSE(CONTROL!$C$23, $C$13, 100%, $E$13)</f>
        <v>4.7771999999999997</v>
      </c>
      <c r="F222" s="67">
        <f>4.7772 * CHOOSE(CONTROL!$C$23, $C$13, 100%, $E$13)</f>
        <v>4.7771999999999997</v>
      </c>
      <c r="G222" s="67">
        <f>4.782 * CHOOSE(CONTROL!$C$23, $C$13, 100%, $E$13)</f>
        <v>4.782</v>
      </c>
      <c r="H222" s="67">
        <f>9.0394* CHOOSE(CONTROL!$C$23, $C$13, 100%, $E$13)</f>
        <v>9.0394000000000005</v>
      </c>
      <c r="I222" s="67">
        <f>9.0442 * CHOOSE(CONTROL!$C$23, $C$13, 100%, $E$13)</f>
        <v>9.0442</v>
      </c>
      <c r="J222" s="67">
        <f>4.7772 * CHOOSE(CONTROL!$C$23, $C$13, 100%, $E$13)</f>
        <v>4.7771999999999997</v>
      </c>
      <c r="K222" s="67">
        <f>4.782 * CHOOSE(CONTROL!$C$23, $C$13, 100%, $E$13)</f>
        <v>4.782</v>
      </c>
    </row>
    <row r="223" spans="1:11" ht="15">
      <c r="A223" s="13">
        <v>47908</v>
      </c>
      <c r="B223" s="66">
        <f>4.059 * CHOOSE(CONTROL!$C$23, $C$13, 100%, $E$13)</f>
        <v>4.0590000000000002</v>
      </c>
      <c r="C223" s="66">
        <f>4.059 * CHOOSE(CONTROL!$C$23, $C$13, 100%, $E$13)</f>
        <v>4.0590000000000002</v>
      </c>
      <c r="D223" s="66">
        <f>4.0628 * CHOOSE(CONTROL!$C$23, $C$13, 100%, $E$13)</f>
        <v>4.0628000000000002</v>
      </c>
      <c r="E223" s="67">
        <f>4.8362 * CHOOSE(CONTROL!$C$23, $C$13, 100%, $E$13)</f>
        <v>4.8361999999999998</v>
      </c>
      <c r="F223" s="67">
        <f>4.8362 * CHOOSE(CONTROL!$C$23, $C$13, 100%, $E$13)</f>
        <v>4.8361999999999998</v>
      </c>
      <c r="G223" s="67">
        <f>4.8409 * CHOOSE(CONTROL!$C$23, $C$13, 100%, $E$13)</f>
        <v>4.8409000000000004</v>
      </c>
      <c r="H223" s="67">
        <f>9.0582* CHOOSE(CONTROL!$C$23, $C$13, 100%, $E$13)</f>
        <v>9.0581999999999994</v>
      </c>
      <c r="I223" s="67">
        <f>9.063 * CHOOSE(CONTROL!$C$23, $C$13, 100%, $E$13)</f>
        <v>9.0630000000000006</v>
      </c>
      <c r="J223" s="67">
        <f>4.8362 * CHOOSE(CONTROL!$C$23, $C$13, 100%, $E$13)</f>
        <v>4.8361999999999998</v>
      </c>
      <c r="K223" s="67">
        <f>4.8409 * CHOOSE(CONTROL!$C$23, $C$13, 100%, $E$13)</f>
        <v>4.8409000000000004</v>
      </c>
    </row>
    <row r="224" spans="1:11" ht="15">
      <c r="A224" s="13">
        <v>47939</v>
      </c>
      <c r="B224" s="66">
        <f>4.0567 * CHOOSE(CONTROL!$C$23, $C$13, 100%, $E$13)</f>
        <v>4.0567000000000002</v>
      </c>
      <c r="C224" s="66">
        <f>4.0567 * CHOOSE(CONTROL!$C$23, $C$13, 100%, $E$13)</f>
        <v>4.0567000000000002</v>
      </c>
      <c r="D224" s="66">
        <f>4.0605 * CHOOSE(CONTROL!$C$23, $C$13, 100%, $E$13)</f>
        <v>4.0605000000000002</v>
      </c>
      <c r="E224" s="67">
        <f>4.8975 * CHOOSE(CONTROL!$C$23, $C$13, 100%, $E$13)</f>
        <v>4.8975</v>
      </c>
      <c r="F224" s="67">
        <f>4.8975 * CHOOSE(CONTROL!$C$23, $C$13, 100%, $E$13)</f>
        <v>4.8975</v>
      </c>
      <c r="G224" s="67">
        <f>4.9022 * CHOOSE(CONTROL!$C$23, $C$13, 100%, $E$13)</f>
        <v>4.9021999999999997</v>
      </c>
      <c r="H224" s="67">
        <f>9.0771* CHOOSE(CONTROL!$C$23, $C$13, 100%, $E$13)</f>
        <v>9.0770999999999997</v>
      </c>
      <c r="I224" s="67">
        <f>9.0819 * CHOOSE(CONTROL!$C$23, $C$13, 100%, $E$13)</f>
        <v>9.0818999999999992</v>
      </c>
      <c r="J224" s="67">
        <f>4.8975 * CHOOSE(CONTROL!$C$23, $C$13, 100%, $E$13)</f>
        <v>4.8975</v>
      </c>
      <c r="K224" s="67">
        <f>4.9022 * CHOOSE(CONTROL!$C$23, $C$13, 100%, $E$13)</f>
        <v>4.9021999999999997</v>
      </c>
    </row>
    <row r="225" spans="1:11" ht="15">
      <c r="A225" s="13">
        <v>47969</v>
      </c>
      <c r="B225" s="66">
        <f>4.0567 * CHOOSE(CONTROL!$C$23, $C$13, 100%, $E$13)</f>
        <v>4.0567000000000002</v>
      </c>
      <c r="C225" s="66">
        <f>4.0567 * CHOOSE(CONTROL!$C$23, $C$13, 100%, $E$13)</f>
        <v>4.0567000000000002</v>
      </c>
      <c r="D225" s="66">
        <f>4.0622 * CHOOSE(CONTROL!$C$23, $C$13, 100%, $E$13)</f>
        <v>4.0621999999999998</v>
      </c>
      <c r="E225" s="67">
        <f>4.9221 * CHOOSE(CONTROL!$C$23, $C$13, 100%, $E$13)</f>
        <v>4.9221000000000004</v>
      </c>
      <c r="F225" s="67">
        <f>4.9221 * CHOOSE(CONTROL!$C$23, $C$13, 100%, $E$13)</f>
        <v>4.9221000000000004</v>
      </c>
      <c r="G225" s="67">
        <f>4.9288 * CHOOSE(CONTROL!$C$23, $C$13, 100%, $E$13)</f>
        <v>4.9287999999999998</v>
      </c>
      <c r="H225" s="67">
        <f>9.096* CHOOSE(CONTROL!$C$23, $C$13, 100%, $E$13)</f>
        <v>9.0960000000000001</v>
      </c>
      <c r="I225" s="67">
        <f>9.1027 * CHOOSE(CONTROL!$C$23, $C$13, 100%, $E$13)</f>
        <v>9.1027000000000005</v>
      </c>
      <c r="J225" s="67">
        <f>4.9221 * CHOOSE(CONTROL!$C$23, $C$13, 100%, $E$13)</f>
        <v>4.9221000000000004</v>
      </c>
      <c r="K225" s="67">
        <f>4.9288 * CHOOSE(CONTROL!$C$23, $C$13, 100%, $E$13)</f>
        <v>4.9287999999999998</v>
      </c>
    </row>
    <row r="226" spans="1:11" ht="15">
      <c r="A226" s="13">
        <v>48000</v>
      </c>
      <c r="B226" s="66">
        <f>4.0627 * CHOOSE(CONTROL!$C$23, $C$13, 100%, $E$13)</f>
        <v>4.0627000000000004</v>
      </c>
      <c r="C226" s="66">
        <f>4.0627 * CHOOSE(CONTROL!$C$23, $C$13, 100%, $E$13)</f>
        <v>4.0627000000000004</v>
      </c>
      <c r="D226" s="66">
        <f>4.0682 * CHOOSE(CONTROL!$C$23, $C$13, 100%, $E$13)</f>
        <v>4.0682</v>
      </c>
      <c r="E226" s="67">
        <f>4.9017 * CHOOSE(CONTROL!$C$23, $C$13, 100%, $E$13)</f>
        <v>4.9016999999999999</v>
      </c>
      <c r="F226" s="67">
        <f>4.9017 * CHOOSE(CONTROL!$C$23, $C$13, 100%, $E$13)</f>
        <v>4.9016999999999999</v>
      </c>
      <c r="G226" s="67">
        <f>4.9085 * CHOOSE(CONTROL!$C$23, $C$13, 100%, $E$13)</f>
        <v>4.9085000000000001</v>
      </c>
      <c r="H226" s="67">
        <f>9.115* CHOOSE(CONTROL!$C$23, $C$13, 100%, $E$13)</f>
        <v>9.1150000000000002</v>
      </c>
      <c r="I226" s="67">
        <f>9.1217 * CHOOSE(CONTROL!$C$23, $C$13, 100%, $E$13)</f>
        <v>9.1217000000000006</v>
      </c>
      <c r="J226" s="67">
        <f>4.9017 * CHOOSE(CONTROL!$C$23, $C$13, 100%, $E$13)</f>
        <v>4.9016999999999999</v>
      </c>
      <c r="K226" s="67">
        <f>4.9085 * CHOOSE(CONTROL!$C$23, $C$13, 100%, $E$13)</f>
        <v>4.9085000000000001</v>
      </c>
    </row>
    <row r="227" spans="1:11" ht="15">
      <c r="A227" s="13">
        <v>48030</v>
      </c>
      <c r="B227" s="66">
        <f>4.1241 * CHOOSE(CONTROL!$C$23, $C$13, 100%, $E$13)</f>
        <v>4.1241000000000003</v>
      </c>
      <c r="C227" s="66">
        <f>4.1241 * CHOOSE(CONTROL!$C$23, $C$13, 100%, $E$13)</f>
        <v>4.1241000000000003</v>
      </c>
      <c r="D227" s="66">
        <f>4.1296 * CHOOSE(CONTROL!$C$23, $C$13, 100%, $E$13)</f>
        <v>4.1295999999999999</v>
      </c>
      <c r="E227" s="67">
        <f>5.0209 * CHOOSE(CONTROL!$C$23, $C$13, 100%, $E$13)</f>
        <v>5.0209000000000001</v>
      </c>
      <c r="F227" s="67">
        <f>5.0209 * CHOOSE(CONTROL!$C$23, $C$13, 100%, $E$13)</f>
        <v>5.0209000000000001</v>
      </c>
      <c r="G227" s="67">
        <f>5.0277 * CHOOSE(CONTROL!$C$23, $C$13, 100%, $E$13)</f>
        <v>5.0277000000000003</v>
      </c>
      <c r="H227" s="67">
        <f>9.1339* CHOOSE(CONTROL!$C$23, $C$13, 100%, $E$13)</f>
        <v>9.1339000000000006</v>
      </c>
      <c r="I227" s="67">
        <f>9.1407 * CHOOSE(CONTROL!$C$23, $C$13, 100%, $E$13)</f>
        <v>9.1407000000000007</v>
      </c>
      <c r="J227" s="67">
        <f>5.0209 * CHOOSE(CONTROL!$C$23, $C$13, 100%, $E$13)</f>
        <v>5.0209000000000001</v>
      </c>
      <c r="K227" s="67">
        <f>5.0277 * CHOOSE(CONTROL!$C$23, $C$13, 100%, $E$13)</f>
        <v>5.0277000000000003</v>
      </c>
    </row>
    <row r="228" spans="1:11" ht="15">
      <c r="A228" s="13">
        <v>48061</v>
      </c>
      <c r="B228" s="66">
        <f>4.1308 * CHOOSE(CONTROL!$C$23, $C$13, 100%, $E$13)</f>
        <v>4.1307999999999998</v>
      </c>
      <c r="C228" s="66">
        <f>4.1308 * CHOOSE(CONTROL!$C$23, $C$13, 100%, $E$13)</f>
        <v>4.1307999999999998</v>
      </c>
      <c r="D228" s="66">
        <f>4.1363 * CHOOSE(CONTROL!$C$23, $C$13, 100%, $E$13)</f>
        <v>4.1363000000000003</v>
      </c>
      <c r="E228" s="67">
        <f>4.9519 * CHOOSE(CONTROL!$C$23, $C$13, 100%, $E$13)</f>
        <v>4.9519000000000002</v>
      </c>
      <c r="F228" s="67">
        <f>4.9519 * CHOOSE(CONTROL!$C$23, $C$13, 100%, $E$13)</f>
        <v>4.9519000000000002</v>
      </c>
      <c r="G228" s="67">
        <f>4.9586 * CHOOSE(CONTROL!$C$23, $C$13, 100%, $E$13)</f>
        <v>4.9585999999999997</v>
      </c>
      <c r="H228" s="67">
        <f>9.153* CHOOSE(CONTROL!$C$23, $C$13, 100%, $E$13)</f>
        <v>9.1530000000000005</v>
      </c>
      <c r="I228" s="67">
        <f>9.1597 * CHOOSE(CONTROL!$C$23, $C$13, 100%, $E$13)</f>
        <v>9.1597000000000008</v>
      </c>
      <c r="J228" s="67">
        <f>4.9519 * CHOOSE(CONTROL!$C$23, $C$13, 100%, $E$13)</f>
        <v>4.9519000000000002</v>
      </c>
      <c r="K228" s="67">
        <f>4.9586 * CHOOSE(CONTROL!$C$23, $C$13, 100%, $E$13)</f>
        <v>4.9585999999999997</v>
      </c>
    </row>
    <row r="229" spans="1:11" ht="15">
      <c r="A229" s="13">
        <v>48092</v>
      </c>
      <c r="B229" s="66">
        <f>4.1278 * CHOOSE(CONTROL!$C$23, $C$13, 100%, $E$13)</f>
        <v>4.1277999999999997</v>
      </c>
      <c r="C229" s="66">
        <f>4.1278 * CHOOSE(CONTROL!$C$23, $C$13, 100%, $E$13)</f>
        <v>4.1277999999999997</v>
      </c>
      <c r="D229" s="66">
        <f>4.1333 * CHOOSE(CONTROL!$C$23, $C$13, 100%, $E$13)</f>
        <v>4.1333000000000002</v>
      </c>
      <c r="E229" s="67">
        <f>4.9415 * CHOOSE(CONTROL!$C$23, $C$13, 100%, $E$13)</f>
        <v>4.9414999999999996</v>
      </c>
      <c r="F229" s="67">
        <f>4.9415 * CHOOSE(CONTROL!$C$23, $C$13, 100%, $E$13)</f>
        <v>4.9414999999999996</v>
      </c>
      <c r="G229" s="67">
        <f>4.9483 * CHOOSE(CONTROL!$C$23, $C$13, 100%, $E$13)</f>
        <v>4.9482999999999997</v>
      </c>
      <c r="H229" s="67">
        <f>9.172* CHOOSE(CONTROL!$C$23, $C$13, 100%, $E$13)</f>
        <v>9.1720000000000006</v>
      </c>
      <c r="I229" s="67">
        <f>9.1788 * CHOOSE(CONTROL!$C$23, $C$13, 100%, $E$13)</f>
        <v>9.1788000000000007</v>
      </c>
      <c r="J229" s="67">
        <f>4.9415 * CHOOSE(CONTROL!$C$23, $C$13, 100%, $E$13)</f>
        <v>4.9414999999999996</v>
      </c>
      <c r="K229" s="67">
        <f>4.9483 * CHOOSE(CONTROL!$C$23, $C$13, 100%, $E$13)</f>
        <v>4.9482999999999997</v>
      </c>
    </row>
    <row r="230" spans="1:11" ht="15">
      <c r="A230" s="13">
        <v>48122</v>
      </c>
      <c r="B230" s="66">
        <f>4.1232 * CHOOSE(CONTROL!$C$23, $C$13, 100%, $E$13)</f>
        <v>4.1231999999999998</v>
      </c>
      <c r="C230" s="66">
        <f>4.1232 * CHOOSE(CONTROL!$C$23, $C$13, 100%, $E$13)</f>
        <v>4.1231999999999998</v>
      </c>
      <c r="D230" s="66">
        <f>4.1271 * CHOOSE(CONTROL!$C$23, $C$13, 100%, $E$13)</f>
        <v>4.1271000000000004</v>
      </c>
      <c r="E230" s="67">
        <f>4.9609 * CHOOSE(CONTROL!$C$23, $C$13, 100%, $E$13)</f>
        <v>4.9608999999999996</v>
      </c>
      <c r="F230" s="67">
        <f>4.9609 * CHOOSE(CONTROL!$C$23, $C$13, 100%, $E$13)</f>
        <v>4.9608999999999996</v>
      </c>
      <c r="G230" s="67">
        <f>4.9657 * CHOOSE(CONTROL!$C$23, $C$13, 100%, $E$13)</f>
        <v>4.9657</v>
      </c>
      <c r="H230" s="67">
        <f>9.1911* CHOOSE(CONTROL!$C$23, $C$13, 100%, $E$13)</f>
        <v>9.1911000000000005</v>
      </c>
      <c r="I230" s="67">
        <f>9.1959 * CHOOSE(CONTROL!$C$23, $C$13, 100%, $E$13)</f>
        <v>9.1959</v>
      </c>
      <c r="J230" s="67">
        <f>4.9609 * CHOOSE(CONTROL!$C$23, $C$13, 100%, $E$13)</f>
        <v>4.9608999999999996</v>
      </c>
      <c r="K230" s="67">
        <f>4.9657 * CHOOSE(CONTROL!$C$23, $C$13, 100%, $E$13)</f>
        <v>4.9657</v>
      </c>
    </row>
    <row r="231" spans="1:11" ht="15">
      <c r="A231" s="13">
        <v>48153</v>
      </c>
      <c r="B231" s="66">
        <f>4.1263 * CHOOSE(CONTROL!$C$23, $C$13, 100%, $E$13)</f>
        <v>4.1262999999999996</v>
      </c>
      <c r="C231" s="66">
        <f>4.1263 * CHOOSE(CONTROL!$C$23, $C$13, 100%, $E$13)</f>
        <v>4.1262999999999996</v>
      </c>
      <c r="D231" s="66">
        <f>4.1301 * CHOOSE(CONTROL!$C$23, $C$13, 100%, $E$13)</f>
        <v>4.1300999999999997</v>
      </c>
      <c r="E231" s="67">
        <f>4.9794 * CHOOSE(CONTROL!$C$23, $C$13, 100%, $E$13)</f>
        <v>4.9794</v>
      </c>
      <c r="F231" s="67">
        <f>4.9794 * CHOOSE(CONTROL!$C$23, $C$13, 100%, $E$13)</f>
        <v>4.9794</v>
      </c>
      <c r="G231" s="67">
        <f>4.9842 * CHOOSE(CONTROL!$C$23, $C$13, 100%, $E$13)</f>
        <v>4.9842000000000004</v>
      </c>
      <c r="H231" s="67">
        <f>9.2103* CHOOSE(CONTROL!$C$23, $C$13, 100%, $E$13)</f>
        <v>9.2103000000000002</v>
      </c>
      <c r="I231" s="67">
        <f>9.2151 * CHOOSE(CONTROL!$C$23, $C$13, 100%, $E$13)</f>
        <v>9.2150999999999996</v>
      </c>
      <c r="J231" s="67">
        <f>4.9794 * CHOOSE(CONTROL!$C$23, $C$13, 100%, $E$13)</f>
        <v>4.9794</v>
      </c>
      <c r="K231" s="67">
        <f>4.9842 * CHOOSE(CONTROL!$C$23, $C$13, 100%, $E$13)</f>
        <v>4.9842000000000004</v>
      </c>
    </row>
    <row r="232" spans="1:11" ht="15">
      <c r="A232" s="13">
        <v>48183</v>
      </c>
      <c r="B232" s="66">
        <f>4.1263 * CHOOSE(CONTROL!$C$23, $C$13, 100%, $E$13)</f>
        <v>4.1262999999999996</v>
      </c>
      <c r="C232" s="66">
        <f>4.1263 * CHOOSE(CONTROL!$C$23, $C$13, 100%, $E$13)</f>
        <v>4.1262999999999996</v>
      </c>
      <c r="D232" s="66">
        <f>4.1301 * CHOOSE(CONTROL!$C$23, $C$13, 100%, $E$13)</f>
        <v>4.1300999999999997</v>
      </c>
      <c r="E232" s="67">
        <f>4.9384 * CHOOSE(CONTROL!$C$23, $C$13, 100%, $E$13)</f>
        <v>4.9383999999999997</v>
      </c>
      <c r="F232" s="67">
        <f>4.9384 * CHOOSE(CONTROL!$C$23, $C$13, 100%, $E$13)</f>
        <v>4.9383999999999997</v>
      </c>
      <c r="G232" s="67">
        <f>4.9432 * CHOOSE(CONTROL!$C$23, $C$13, 100%, $E$13)</f>
        <v>4.9432</v>
      </c>
      <c r="H232" s="67">
        <f>9.2295* CHOOSE(CONTROL!$C$23, $C$13, 100%, $E$13)</f>
        <v>9.2294999999999998</v>
      </c>
      <c r="I232" s="67">
        <f>9.2343 * CHOOSE(CONTROL!$C$23, $C$13, 100%, $E$13)</f>
        <v>9.2342999999999993</v>
      </c>
      <c r="J232" s="67">
        <f>4.9384 * CHOOSE(CONTROL!$C$23, $C$13, 100%, $E$13)</f>
        <v>4.9383999999999997</v>
      </c>
      <c r="K232" s="67">
        <f>4.9432 * CHOOSE(CONTROL!$C$23, $C$13, 100%, $E$13)</f>
        <v>4.9432</v>
      </c>
    </row>
    <row r="233" spans="1:11" ht="15">
      <c r="A233" s="13">
        <v>48214</v>
      </c>
      <c r="B233" s="66">
        <f>4.1645 * CHOOSE(CONTROL!$C$23, $C$13, 100%, $E$13)</f>
        <v>4.1645000000000003</v>
      </c>
      <c r="C233" s="66">
        <f>4.1645 * CHOOSE(CONTROL!$C$23, $C$13, 100%, $E$13)</f>
        <v>4.1645000000000003</v>
      </c>
      <c r="D233" s="66">
        <f>4.1683 * CHOOSE(CONTROL!$C$23, $C$13, 100%, $E$13)</f>
        <v>4.1683000000000003</v>
      </c>
      <c r="E233" s="67">
        <f>5.0152 * CHOOSE(CONTROL!$C$23, $C$13, 100%, $E$13)</f>
        <v>5.0152000000000001</v>
      </c>
      <c r="F233" s="67">
        <f>5.0152 * CHOOSE(CONTROL!$C$23, $C$13, 100%, $E$13)</f>
        <v>5.0152000000000001</v>
      </c>
      <c r="G233" s="67">
        <f>5.02 * CHOOSE(CONTROL!$C$23, $C$13, 100%, $E$13)</f>
        <v>5.0199999999999996</v>
      </c>
      <c r="H233" s="67">
        <f>9.2487* CHOOSE(CONTROL!$C$23, $C$13, 100%, $E$13)</f>
        <v>9.2486999999999995</v>
      </c>
      <c r="I233" s="67">
        <f>9.2535 * CHOOSE(CONTROL!$C$23, $C$13, 100%, $E$13)</f>
        <v>9.2535000000000007</v>
      </c>
      <c r="J233" s="67">
        <f>5.0152 * CHOOSE(CONTROL!$C$23, $C$13, 100%, $E$13)</f>
        <v>5.0152000000000001</v>
      </c>
      <c r="K233" s="67">
        <f>5.02 * CHOOSE(CONTROL!$C$23, $C$13, 100%, $E$13)</f>
        <v>5.0199999999999996</v>
      </c>
    </row>
    <row r="234" spans="1:11" ht="15">
      <c r="A234" s="13">
        <v>48245</v>
      </c>
      <c r="B234" s="66">
        <f>4.1614 * CHOOSE(CONTROL!$C$23, $C$13, 100%, $E$13)</f>
        <v>4.1614000000000004</v>
      </c>
      <c r="C234" s="66">
        <f>4.1614 * CHOOSE(CONTROL!$C$23, $C$13, 100%, $E$13)</f>
        <v>4.1614000000000004</v>
      </c>
      <c r="D234" s="66">
        <f>4.1653 * CHOOSE(CONTROL!$C$23, $C$13, 100%, $E$13)</f>
        <v>4.1653000000000002</v>
      </c>
      <c r="E234" s="67">
        <f>4.9336 * CHOOSE(CONTROL!$C$23, $C$13, 100%, $E$13)</f>
        <v>4.9336000000000002</v>
      </c>
      <c r="F234" s="67">
        <f>4.9336 * CHOOSE(CONTROL!$C$23, $C$13, 100%, $E$13)</f>
        <v>4.9336000000000002</v>
      </c>
      <c r="G234" s="67">
        <f>4.9384 * CHOOSE(CONTROL!$C$23, $C$13, 100%, $E$13)</f>
        <v>4.9383999999999997</v>
      </c>
      <c r="H234" s="67">
        <f>9.268* CHOOSE(CONTROL!$C$23, $C$13, 100%, $E$13)</f>
        <v>9.2680000000000007</v>
      </c>
      <c r="I234" s="67">
        <f>9.2727 * CHOOSE(CONTROL!$C$23, $C$13, 100%, $E$13)</f>
        <v>9.2727000000000004</v>
      </c>
      <c r="J234" s="67">
        <f>4.9336 * CHOOSE(CONTROL!$C$23, $C$13, 100%, $E$13)</f>
        <v>4.9336000000000002</v>
      </c>
      <c r="K234" s="67">
        <f>4.9384 * CHOOSE(CONTROL!$C$23, $C$13, 100%, $E$13)</f>
        <v>4.9383999999999997</v>
      </c>
    </row>
    <row r="235" spans="1:11" ht="15">
      <c r="A235" s="13">
        <v>48274</v>
      </c>
      <c r="B235" s="66">
        <f>4.1584 * CHOOSE(CONTROL!$C$23, $C$13, 100%, $E$13)</f>
        <v>4.1584000000000003</v>
      </c>
      <c r="C235" s="66">
        <f>4.1584 * CHOOSE(CONTROL!$C$23, $C$13, 100%, $E$13)</f>
        <v>4.1584000000000003</v>
      </c>
      <c r="D235" s="66">
        <f>4.1623 * CHOOSE(CONTROL!$C$23, $C$13, 100%, $E$13)</f>
        <v>4.1623000000000001</v>
      </c>
      <c r="E235" s="67">
        <f>4.9942 * CHOOSE(CONTROL!$C$23, $C$13, 100%, $E$13)</f>
        <v>4.9942000000000002</v>
      </c>
      <c r="F235" s="67">
        <f>4.9942 * CHOOSE(CONTROL!$C$23, $C$13, 100%, $E$13)</f>
        <v>4.9942000000000002</v>
      </c>
      <c r="G235" s="67">
        <f>4.9989 * CHOOSE(CONTROL!$C$23, $C$13, 100%, $E$13)</f>
        <v>4.9988999999999999</v>
      </c>
      <c r="H235" s="67">
        <f>9.2873* CHOOSE(CONTROL!$C$23, $C$13, 100%, $E$13)</f>
        <v>9.2873000000000001</v>
      </c>
      <c r="I235" s="67">
        <f>9.2921 * CHOOSE(CONTROL!$C$23, $C$13, 100%, $E$13)</f>
        <v>9.2920999999999996</v>
      </c>
      <c r="J235" s="67">
        <f>4.9942 * CHOOSE(CONTROL!$C$23, $C$13, 100%, $E$13)</f>
        <v>4.9942000000000002</v>
      </c>
      <c r="K235" s="67">
        <f>4.9989 * CHOOSE(CONTROL!$C$23, $C$13, 100%, $E$13)</f>
        <v>4.9988999999999999</v>
      </c>
    </row>
    <row r="236" spans="1:11" ht="15">
      <c r="A236" s="13">
        <v>48305</v>
      </c>
      <c r="B236" s="66">
        <f>4.1562 * CHOOSE(CONTROL!$C$23, $C$13, 100%, $E$13)</f>
        <v>4.1562000000000001</v>
      </c>
      <c r="C236" s="66">
        <f>4.1562 * CHOOSE(CONTROL!$C$23, $C$13, 100%, $E$13)</f>
        <v>4.1562000000000001</v>
      </c>
      <c r="D236" s="66">
        <f>4.1601 * CHOOSE(CONTROL!$C$23, $C$13, 100%, $E$13)</f>
        <v>4.1600999999999999</v>
      </c>
      <c r="E236" s="67">
        <f>5.0572 * CHOOSE(CONTROL!$C$23, $C$13, 100%, $E$13)</f>
        <v>5.0571999999999999</v>
      </c>
      <c r="F236" s="67">
        <f>5.0572 * CHOOSE(CONTROL!$C$23, $C$13, 100%, $E$13)</f>
        <v>5.0571999999999999</v>
      </c>
      <c r="G236" s="67">
        <f>5.062 * CHOOSE(CONTROL!$C$23, $C$13, 100%, $E$13)</f>
        <v>5.0620000000000003</v>
      </c>
      <c r="H236" s="67">
        <f>9.3066* CHOOSE(CONTROL!$C$23, $C$13, 100%, $E$13)</f>
        <v>9.3065999999999995</v>
      </c>
      <c r="I236" s="67">
        <f>9.3114 * CHOOSE(CONTROL!$C$23, $C$13, 100%, $E$13)</f>
        <v>9.3114000000000008</v>
      </c>
      <c r="J236" s="67">
        <f>5.0572 * CHOOSE(CONTROL!$C$23, $C$13, 100%, $E$13)</f>
        <v>5.0571999999999999</v>
      </c>
      <c r="K236" s="67">
        <f>5.062 * CHOOSE(CONTROL!$C$23, $C$13, 100%, $E$13)</f>
        <v>5.0620000000000003</v>
      </c>
    </row>
    <row r="237" spans="1:11" ht="15">
      <c r="A237" s="13">
        <v>48335</v>
      </c>
      <c r="B237" s="66">
        <f>4.1562 * CHOOSE(CONTROL!$C$23, $C$13, 100%, $E$13)</f>
        <v>4.1562000000000001</v>
      </c>
      <c r="C237" s="66">
        <f>4.1562 * CHOOSE(CONTROL!$C$23, $C$13, 100%, $E$13)</f>
        <v>4.1562000000000001</v>
      </c>
      <c r="D237" s="66">
        <f>4.1617 * CHOOSE(CONTROL!$C$23, $C$13, 100%, $E$13)</f>
        <v>4.1616999999999997</v>
      </c>
      <c r="E237" s="67">
        <f>5.0825 * CHOOSE(CONTROL!$C$23, $C$13, 100%, $E$13)</f>
        <v>5.0824999999999996</v>
      </c>
      <c r="F237" s="67">
        <f>5.0825 * CHOOSE(CONTROL!$C$23, $C$13, 100%, $E$13)</f>
        <v>5.0824999999999996</v>
      </c>
      <c r="G237" s="67">
        <f>5.0892 * CHOOSE(CONTROL!$C$23, $C$13, 100%, $E$13)</f>
        <v>5.0891999999999999</v>
      </c>
      <c r="H237" s="67">
        <f>9.326* CHOOSE(CONTROL!$C$23, $C$13, 100%, $E$13)</f>
        <v>9.3260000000000005</v>
      </c>
      <c r="I237" s="67">
        <f>9.3328 * CHOOSE(CONTROL!$C$23, $C$13, 100%, $E$13)</f>
        <v>9.3328000000000007</v>
      </c>
      <c r="J237" s="67">
        <f>5.0825 * CHOOSE(CONTROL!$C$23, $C$13, 100%, $E$13)</f>
        <v>5.0824999999999996</v>
      </c>
      <c r="K237" s="67">
        <f>5.0892 * CHOOSE(CONTROL!$C$23, $C$13, 100%, $E$13)</f>
        <v>5.0891999999999999</v>
      </c>
    </row>
    <row r="238" spans="1:11" ht="15">
      <c r="A238" s="13">
        <v>48366</v>
      </c>
      <c r="B238" s="66">
        <f>4.1623 * CHOOSE(CONTROL!$C$23, $C$13, 100%, $E$13)</f>
        <v>4.1623000000000001</v>
      </c>
      <c r="C238" s="66">
        <f>4.1623 * CHOOSE(CONTROL!$C$23, $C$13, 100%, $E$13)</f>
        <v>4.1623000000000001</v>
      </c>
      <c r="D238" s="66">
        <f>4.1678 * CHOOSE(CONTROL!$C$23, $C$13, 100%, $E$13)</f>
        <v>4.1677999999999997</v>
      </c>
      <c r="E238" s="67">
        <f>5.0615 * CHOOSE(CONTROL!$C$23, $C$13, 100%, $E$13)</f>
        <v>5.0614999999999997</v>
      </c>
      <c r="F238" s="67">
        <f>5.0615 * CHOOSE(CONTROL!$C$23, $C$13, 100%, $E$13)</f>
        <v>5.0614999999999997</v>
      </c>
      <c r="G238" s="67">
        <f>5.0682 * CHOOSE(CONTROL!$C$23, $C$13, 100%, $E$13)</f>
        <v>5.0682</v>
      </c>
      <c r="H238" s="67">
        <f>9.3455* CHOOSE(CONTROL!$C$23, $C$13, 100%, $E$13)</f>
        <v>9.3454999999999995</v>
      </c>
      <c r="I238" s="67">
        <f>9.3522 * CHOOSE(CONTROL!$C$23, $C$13, 100%, $E$13)</f>
        <v>9.3521999999999998</v>
      </c>
      <c r="J238" s="67">
        <f>5.0615 * CHOOSE(CONTROL!$C$23, $C$13, 100%, $E$13)</f>
        <v>5.0614999999999997</v>
      </c>
      <c r="K238" s="67">
        <f>5.0682 * CHOOSE(CONTROL!$C$23, $C$13, 100%, $E$13)</f>
        <v>5.0682</v>
      </c>
    </row>
    <row r="239" spans="1:11" ht="15">
      <c r="A239" s="13">
        <v>48396</v>
      </c>
      <c r="B239" s="66">
        <f>4.2341 * CHOOSE(CONTROL!$C$23, $C$13, 100%, $E$13)</f>
        <v>4.2340999999999998</v>
      </c>
      <c r="C239" s="66">
        <f>4.2341 * CHOOSE(CONTROL!$C$23, $C$13, 100%, $E$13)</f>
        <v>4.2340999999999998</v>
      </c>
      <c r="D239" s="66">
        <f>4.2396 * CHOOSE(CONTROL!$C$23, $C$13, 100%, $E$13)</f>
        <v>4.2396000000000003</v>
      </c>
      <c r="E239" s="67">
        <f>5.166 * CHOOSE(CONTROL!$C$23, $C$13, 100%, $E$13)</f>
        <v>5.1660000000000004</v>
      </c>
      <c r="F239" s="67">
        <f>5.166 * CHOOSE(CONTROL!$C$23, $C$13, 100%, $E$13)</f>
        <v>5.1660000000000004</v>
      </c>
      <c r="G239" s="67">
        <f>5.1728 * CHOOSE(CONTROL!$C$23, $C$13, 100%, $E$13)</f>
        <v>5.1727999999999996</v>
      </c>
      <c r="H239" s="67">
        <f>9.3649* CHOOSE(CONTROL!$C$23, $C$13, 100%, $E$13)</f>
        <v>9.3649000000000004</v>
      </c>
      <c r="I239" s="67">
        <f>9.3717 * CHOOSE(CONTROL!$C$23, $C$13, 100%, $E$13)</f>
        <v>9.3717000000000006</v>
      </c>
      <c r="J239" s="67">
        <f>5.166 * CHOOSE(CONTROL!$C$23, $C$13, 100%, $E$13)</f>
        <v>5.1660000000000004</v>
      </c>
      <c r="K239" s="67">
        <f>5.1728 * CHOOSE(CONTROL!$C$23, $C$13, 100%, $E$13)</f>
        <v>5.1727999999999996</v>
      </c>
    </row>
    <row r="240" spans="1:11" ht="15">
      <c r="A240" s="13">
        <v>48427</v>
      </c>
      <c r="B240" s="66">
        <f>4.2408 * CHOOSE(CONTROL!$C$23, $C$13, 100%, $E$13)</f>
        <v>4.2408000000000001</v>
      </c>
      <c r="C240" s="66">
        <f>4.2408 * CHOOSE(CONTROL!$C$23, $C$13, 100%, $E$13)</f>
        <v>4.2408000000000001</v>
      </c>
      <c r="D240" s="66">
        <f>4.2463 * CHOOSE(CONTROL!$C$23, $C$13, 100%, $E$13)</f>
        <v>4.2462999999999997</v>
      </c>
      <c r="E240" s="67">
        <f>5.095 * CHOOSE(CONTROL!$C$23, $C$13, 100%, $E$13)</f>
        <v>5.0949999999999998</v>
      </c>
      <c r="F240" s="67">
        <f>5.095 * CHOOSE(CONTROL!$C$23, $C$13, 100%, $E$13)</f>
        <v>5.0949999999999998</v>
      </c>
      <c r="G240" s="67">
        <f>5.1017 * CHOOSE(CONTROL!$C$23, $C$13, 100%, $E$13)</f>
        <v>5.1017000000000001</v>
      </c>
      <c r="H240" s="67">
        <f>9.3844* CHOOSE(CONTROL!$C$23, $C$13, 100%, $E$13)</f>
        <v>9.3843999999999994</v>
      </c>
      <c r="I240" s="67">
        <f>9.3912 * CHOOSE(CONTROL!$C$23, $C$13, 100%, $E$13)</f>
        <v>9.3911999999999995</v>
      </c>
      <c r="J240" s="67">
        <f>5.095 * CHOOSE(CONTROL!$C$23, $C$13, 100%, $E$13)</f>
        <v>5.0949999999999998</v>
      </c>
      <c r="K240" s="67">
        <f>5.1017 * CHOOSE(CONTROL!$C$23, $C$13, 100%, $E$13)</f>
        <v>5.1017000000000001</v>
      </c>
    </row>
    <row r="241" spans="1:11" ht="15">
      <c r="A241" s="13">
        <v>48458</v>
      </c>
      <c r="B241" s="66">
        <f>4.2378 * CHOOSE(CONTROL!$C$23, $C$13, 100%, $E$13)</f>
        <v>4.2378</v>
      </c>
      <c r="C241" s="66">
        <f>4.2378 * CHOOSE(CONTROL!$C$23, $C$13, 100%, $E$13)</f>
        <v>4.2378</v>
      </c>
      <c r="D241" s="66">
        <f>4.2433 * CHOOSE(CONTROL!$C$23, $C$13, 100%, $E$13)</f>
        <v>4.2432999999999996</v>
      </c>
      <c r="E241" s="67">
        <f>5.0844 * CHOOSE(CONTROL!$C$23, $C$13, 100%, $E$13)</f>
        <v>5.0843999999999996</v>
      </c>
      <c r="F241" s="67">
        <f>5.0844 * CHOOSE(CONTROL!$C$23, $C$13, 100%, $E$13)</f>
        <v>5.0843999999999996</v>
      </c>
      <c r="G241" s="67">
        <f>5.0912 * CHOOSE(CONTROL!$C$23, $C$13, 100%, $E$13)</f>
        <v>5.0911999999999997</v>
      </c>
      <c r="H241" s="67">
        <f>9.404* CHOOSE(CONTROL!$C$23, $C$13, 100%, $E$13)</f>
        <v>9.4039999999999999</v>
      </c>
      <c r="I241" s="67">
        <f>9.4107 * CHOOSE(CONTROL!$C$23, $C$13, 100%, $E$13)</f>
        <v>9.4107000000000003</v>
      </c>
      <c r="J241" s="67">
        <f>5.0844 * CHOOSE(CONTROL!$C$23, $C$13, 100%, $E$13)</f>
        <v>5.0843999999999996</v>
      </c>
      <c r="K241" s="67">
        <f>5.0912 * CHOOSE(CONTROL!$C$23, $C$13, 100%, $E$13)</f>
        <v>5.0911999999999997</v>
      </c>
    </row>
    <row r="242" spans="1:11" ht="15">
      <c r="A242" s="13">
        <v>48488</v>
      </c>
      <c r="B242" s="66">
        <f>4.2336 * CHOOSE(CONTROL!$C$23, $C$13, 100%, $E$13)</f>
        <v>4.2336</v>
      </c>
      <c r="C242" s="66">
        <f>4.2336 * CHOOSE(CONTROL!$C$23, $C$13, 100%, $E$13)</f>
        <v>4.2336</v>
      </c>
      <c r="D242" s="66">
        <f>4.2375 * CHOOSE(CONTROL!$C$23, $C$13, 100%, $E$13)</f>
        <v>4.2374999999999998</v>
      </c>
      <c r="E242" s="67">
        <f>5.1047 * CHOOSE(CONTROL!$C$23, $C$13, 100%, $E$13)</f>
        <v>5.1047000000000002</v>
      </c>
      <c r="F242" s="67">
        <f>5.1047 * CHOOSE(CONTROL!$C$23, $C$13, 100%, $E$13)</f>
        <v>5.1047000000000002</v>
      </c>
      <c r="G242" s="67">
        <f>5.1094 * CHOOSE(CONTROL!$C$23, $C$13, 100%, $E$13)</f>
        <v>5.1093999999999999</v>
      </c>
      <c r="H242" s="67">
        <f>9.4236* CHOOSE(CONTROL!$C$23, $C$13, 100%, $E$13)</f>
        <v>9.4236000000000004</v>
      </c>
      <c r="I242" s="67">
        <f>9.4283 * CHOOSE(CONTROL!$C$23, $C$13, 100%, $E$13)</f>
        <v>9.4283000000000001</v>
      </c>
      <c r="J242" s="67">
        <f>5.1047 * CHOOSE(CONTROL!$C$23, $C$13, 100%, $E$13)</f>
        <v>5.1047000000000002</v>
      </c>
      <c r="K242" s="67">
        <f>5.1094 * CHOOSE(CONTROL!$C$23, $C$13, 100%, $E$13)</f>
        <v>5.1093999999999999</v>
      </c>
    </row>
    <row r="243" spans="1:11" ht="15">
      <c r="A243" s="13">
        <v>48519</v>
      </c>
      <c r="B243" s="66">
        <f>4.2367 * CHOOSE(CONTROL!$C$23, $C$13, 100%, $E$13)</f>
        <v>4.2366999999999999</v>
      </c>
      <c r="C243" s="66">
        <f>4.2367 * CHOOSE(CONTROL!$C$23, $C$13, 100%, $E$13)</f>
        <v>4.2366999999999999</v>
      </c>
      <c r="D243" s="66">
        <f>4.2405 * CHOOSE(CONTROL!$C$23, $C$13, 100%, $E$13)</f>
        <v>4.2404999999999999</v>
      </c>
      <c r="E243" s="67">
        <f>5.1236 * CHOOSE(CONTROL!$C$23, $C$13, 100%, $E$13)</f>
        <v>5.1235999999999997</v>
      </c>
      <c r="F243" s="67">
        <f>5.1236 * CHOOSE(CONTROL!$C$23, $C$13, 100%, $E$13)</f>
        <v>5.1235999999999997</v>
      </c>
      <c r="G243" s="67">
        <f>5.1284 * CHOOSE(CONTROL!$C$23, $C$13, 100%, $E$13)</f>
        <v>5.1284000000000001</v>
      </c>
      <c r="H243" s="67">
        <f>9.4432* CHOOSE(CONTROL!$C$23, $C$13, 100%, $E$13)</f>
        <v>9.4431999999999992</v>
      </c>
      <c r="I243" s="67">
        <f>9.448 * CHOOSE(CONTROL!$C$23, $C$13, 100%, $E$13)</f>
        <v>9.4480000000000004</v>
      </c>
      <c r="J243" s="67">
        <f>5.1236 * CHOOSE(CONTROL!$C$23, $C$13, 100%, $E$13)</f>
        <v>5.1235999999999997</v>
      </c>
      <c r="K243" s="67">
        <f>5.1284 * CHOOSE(CONTROL!$C$23, $C$13, 100%, $E$13)</f>
        <v>5.1284000000000001</v>
      </c>
    </row>
    <row r="244" spans="1:11" ht="15">
      <c r="A244" s="13">
        <v>48549</v>
      </c>
      <c r="B244" s="66">
        <f>4.2367 * CHOOSE(CONTROL!$C$23, $C$13, 100%, $E$13)</f>
        <v>4.2366999999999999</v>
      </c>
      <c r="C244" s="66">
        <f>4.2367 * CHOOSE(CONTROL!$C$23, $C$13, 100%, $E$13)</f>
        <v>4.2366999999999999</v>
      </c>
      <c r="D244" s="66">
        <f>4.2405 * CHOOSE(CONTROL!$C$23, $C$13, 100%, $E$13)</f>
        <v>4.2404999999999999</v>
      </c>
      <c r="E244" s="67">
        <f>5.0815 * CHOOSE(CONTROL!$C$23, $C$13, 100%, $E$13)</f>
        <v>5.0815000000000001</v>
      </c>
      <c r="F244" s="67">
        <f>5.0815 * CHOOSE(CONTROL!$C$23, $C$13, 100%, $E$13)</f>
        <v>5.0815000000000001</v>
      </c>
      <c r="G244" s="67">
        <f>5.0863 * CHOOSE(CONTROL!$C$23, $C$13, 100%, $E$13)</f>
        <v>5.0862999999999996</v>
      </c>
      <c r="H244" s="67">
        <f>9.4629* CHOOSE(CONTROL!$C$23, $C$13, 100%, $E$13)</f>
        <v>9.4628999999999994</v>
      </c>
      <c r="I244" s="67">
        <f>9.4677 * CHOOSE(CONTROL!$C$23, $C$13, 100%, $E$13)</f>
        <v>9.4677000000000007</v>
      </c>
      <c r="J244" s="67">
        <f>5.0815 * CHOOSE(CONTROL!$C$23, $C$13, 100%, $E$13)</f>
        <v>5.0815000000000001</v>
      </c>
      <c r="K244" s="67">
        <f>5.0863 * CHOOSE(CONTROL!$C$23, $C$13, 100%, $E$13)</f>
        <v>5.0862999999999996</v>
      </c>
    </row>
    <row r="245" spans="1:11" ht="15">
      <c r="A245" s="13">
        <v>48580</v>
      </c>
      <c r="B245" s="66">
        <f>4.2764 * CHOOSE(CONTROL!$C$23, $C$13, 100%, $E$13)</f>
        <v>4.2763999999999998</v>
      </c>
      <c r="C245" s="66">
        <f>4.2764 * CHOOSE(CONTROL!$C$23, $C$13, 100%, $E$13)</f>
        <v>4.2763999999999998</v>
      </c>
      <c r="D245" s="66">
        <f>4.2803 * CHOOSE(CONTROL!$C$23, $C$13, 100%, $E$13)</f>
        <v>4.2803000000000004</v>
      </c>
      <c r="E245" s="67">
        <f>5.1642 * CHOOSE(CONTROL!$C$23, $C$13, 100%, $E$13)</f>
        <v>5.1642000000000001</v>
      </c>
      <c r="F245" s="67">
        <f>5.1642 * CHOOSE(CONTROL!$C$23, $C$13, 100%, $E$13)</f>
        <v>5.1642000000000001</v>
      </c>
      <c r="G245" s="67">
        <f>5.169 * CHOOSE(CONTROL!$C$23, $C$13, 100%, $E$13)</f>
        <v>5.1689999999999996</v>
      </c>
      <c r="H245" s="67">
        <f>9.4826* CHOOSE(CONTROL!$C$23, $C$13, 100%, $E$13)</f>
        <v>9.4825999999999997</v>
      </c>
      <c r="I245" s="67">
        <f>9.4874 * CHOOSE(CONTROL!$C$23, $C$13, 100%, $E$13)</f>
        <v>9.4873999999999992</v>
      </c>
      <c r="J245" s="67">
        <f>5.1642 * CHOOSE(CONTROL!$C$23, $C$13, 100%, $E$13)</f>
        <v>5.1642000000000001</v>
      </c>
      <c r="K245" s="67">
        <f>5.169 * CHOOSE(CONTROL!$C$23, $C$13, 100%, $E$13)</f>
        <v>5.1689999999999996</v>
      </c>
    </row>
    <row r="246" spans="1:11" ht="15">
      <c r="A246" s="13">
        <v>48611</v>
      </c>
      <c r="B246" s="66">
        <f>4.2734 * CHOOSE(CONTROL!$C$23, $C$13, 100%, $E$13)</f>
        <v>4.2733999999999996</v>
      </c>
      <c r="C246" s="66">
        <f>4.2734 * CHOOSE(CONTROL!$C$23, $C$13, 100%, $E$13)</f>
        <v>4.2733999999999996</v>
      </c>
      <c r="D246" s="66">
        <f>4.2772 * CHOOSE(CONTROL!$C$23, $C$13, 100%, $E$13)</f>
        <v>4.2771999999999997</v>
      </c>
      <c r="E246" s="67">
        <f>5.0805 * CHOOSE(CONTROL!$C$23, $C$13, 100%, $E$13)</f>
        <v>5.0804999999999998</v>
      </c>
      <c r="F246" s="67">
        <f>5.0805 * CHOOSE(CONTROL!$C$23, $C$13, 100%, $E$13)</f>
        <v>5.0804999999999998</v>
      </c>
      <c r="G246" s="67">
        <f>5.0853 * CHOOSE(CONTROL!$C$23, $C$13, 100%, $E$13)</f>
        <v>5.0853000000000002</v>
      </c>
      <c r="H246" s="67">
        <f>9.5024* CHOOSE(CONTROL!$C$23, $C$13, 100%, $E$13)</f>
        <v>9.5023999999999997</v>
      </c>
      <c r="I246" s="67">
        <f>9.5071 * CHOOSE(CONTROL!$C$23, $C$13, 100%, $E$13)</f>
        <v>9.5070999999999994</v>
      </c>
      <c r="J246" s="67">
        <f>5.0805 * CHOOSE(CONTROL!$C$23, $C$13, 100%, $E$13)</f>
        <v>5.0804999999999998</v>
      </c>
      <c r="K246" s="67">
        <f>5.0853 * CHOOSE(CONTROL!$C$23, $C$13, 100%, $E$13)</f>
        <v>5.0853000000000002</v>
      </c>
    </row>
    <row r="247" spans="1:11" ht="15">
      <c r="A247" s="13">
        <v>48639</v>
      </c>
      <c r="B247" s="66">
        <f>4.2703 * CHOOSE(CONTROL!$C$23, $C$13, 100%, $E$13)</f>
        <v>4.2702999999999998</v>
      </c>
      <c r="C247" s="66">
        <f>4.2703 * CHOOSE(CONTROL!$C$23, $C$13, 100%, $E$13)</f>
        <v>4.2702999999999998</v>
      </c>
      <c r="D247" s="66">
        <f>4.2742 * CHOOSE(CONTROL!$C$23, $C$13, 100%, $E$13)</f>
        <v>4.2742000000000004</v>
      </c>
      <c r="E247" s="67">
        <f>5.1427 * CHOOSE(CONTROL!$C$23, $C$13, 100%, $E$13)</f>
        <v>5.1426999999999996</v>
      </c>
      <c r="F247" s="67">
        <f>5.1427 * CHOOSE(CONTROL!$C$23, $C$13, 100%, $E$13)</f>
        <v>5.1426999999999996</v>
      </c>
      <c r="G247" s="67">
        <f>5.1475 * CHOOSE(CONTROL!$C$23, $C$13, 100%, $E$13)</f>
        <v>5.1475</v>
      </c>
      <c r="H247" s="67">
        <f>9.5221* CHOOSE(CONTROL!$C$23, $C$13, 100%, $E$13)</f>
        <v>9.5221</v>
      </c>
      <c r="I247" s="67">
        <f>9.5269 * CHOOSE(CONTROL!$C$23, $C$13, 100%, $E$13)</f>
        <v>9.5268999999999995</v>
      </c>
      <c r="J247" s="67">
        <f>5.1427 * CHOOSE(CONTROL!$C$23, $C$13, 100%, $E$13)</f>
        <v>5.1426999999999996</v>
      </c>
      <c r="K247" s="67">
        <f>5.1475 * CHOOSE(CONTROL!$C$23, $C$13, 100%, $E$13)</f>
        <v>5.1475</v>
      </c>
    </row>
    <row r="248" spans="1:11" ht="15">
      <c r="A248" s="13">
        <v>48670</v>
      </c>
      <c r="B248" s="66">
        <f>4.2682 * CHOOSE(CONTROL!$C$23, $C$13, 100%, $E$13)</f>
        <v>4.2682000000000002</v>
      </c>
      <c r="C248" s="66">
        <f>4.2682 * CHOOSE(CONTROL!$C$23, $C$13, 100%, $E$13)</f>
        <v>4.2682000000000002</v>
      </c>
      <c r="D248" s="66">
        <f>4.2721 * CHOOSE(CONTROL!$C$23, $C$13, 100%, $E$13)</f>
        <v>4.2721</v>
      </c>
      <c r="E248" s="67">
        <f>5.2076 * CHOOSE(CONTROL!$C$23, $C$13, 100%, $E$13)</f>
        <v>5.2076000000000002</v>
      </c>
      <c r="F248" s="67">
        <f>5.2076 * CHOOSE(CONTROL!$C$23, $C$13, 100%, $E$13)</f>
        <v>5.2076000000000002</v>
      </c>
      <c r="G248" s="67">
        <f>5.2123 * CHOOSE(CONTROL!$C$23, $C$13, 100%, $E$13)</f>
        <v>5.2122999999999999</v>
      </c>
      <c r="H248" s="67">
        <f>9.542* CHOOSE(CONTROL!$C$23, $C$13, 100%, $E$13)</f>
        <v>9.5419999999999998</v>
      </c>
      <c r="I248" s="67">
        <f>9.5468 * CHOOSE(CONTROL!$C$23, $C$13, 100%, $E$13)</f>
        <v>9.5467999999999993</v>
      </c>
      <c r="J248" s="67">
        <f>5.2076 * CHOOSE(CONTROL!$C$23, $C$13, 100%, $E$13)</f>
        <v>5.2076000000000002</v>
      </c>
      <c r="K248" s="67">
        <f>5.2123 * CHOOSE(CONTROL!$C$23, $C$13, 100%, $E$13)</f>
        <v>5.2122999999999999</v>
      </c>
    </row>
    <row r="249" spans="1:11" ht="15">
      <c r="A249" s="13">
        <v>48700</v>
      </c>
      <c r="B249" s="66">
        <f>4.2682 * CHOOSE(CONTROL!$C$23, $C$13, 100%, $E$13)</f>
        <v>4.2682000000000002</v>
      </c>
      <c r="C249" s="66">
        <f>4.2682 * CHOOSE(CONTROL!$C$23, $C$13, 100%, $E$13)</f>
        <v>4.2682000000000002</v>
      </c>
      <c r="D249" s="66">
        <f>4.2737 * CHOOSE(CONTROL!$C$23, $C$13, 100%, $E$13)</f>
        <v>4.2736999999999998</v>
      </c>
      <c r="E249" s="67">
        <f>5.2335 * CHOOSE(CONTROL!$C$23, $C$13, 100%, $E$13)</f>
        <v>5.2335000000000003</v>
      </c>
      <c r="F249" s="67">
        <f>5.2335 * CHOOSE(CONTROL!$C$23, $C$13, 100%, $E$13)</f>
        <v>5.2335000000000003</v>
      </c>
      <c r="G249" s="67">
        <f>5.2402 * CHOOSE(CONTROL!$C$23, $C$13, 100%, $E$13)</f>
        <v>5.2401999999999997</v>
      </c>
      <c r="H249" s="67">
        <f>9.5619* CHOOSE(CONTROL!$C$23, $C$13, 100%, $E$13)</f>
        <v>9.5618999999999996</v>
      </c>
      <c r="I249" s="67">
        <f>9.5686 * CHOOSE(CONTROL!$C$23, $C$13, 100%, $E$13)</f>
        <v>9.5686</v>
      </c>
      <c r="J249" s="67">
        <f>5.2335 * CHOOSE(CONTROL!$C$23, $C$13, 100%, $E$13)</f>
        <v>5.2335000000000003</v>
      </c>
      <c r="K249" s="67">
        <f>5.2402 * CHOOSE(CONTROL!$C$23, $C$13, 100%, $E$13)</f>
        <v>5.2401999999999997</v>
      </c>
    </row>
    <row r="250" spans="1:11" ht="15">
      <c r="A250" s="13">
        <v>48731</v>
      </c>
      <c r="B250" s="66">
        <f>4.2743 * CHOOSE(CONTROL!$C$23, $C$13, 100%, $E$13)</f>
        <v>4.2743000000000002</v>
      </c>
      <c r="C250" s="66">
        <f>4.2743 * CHOOSE(CONTROL!$C$23, $C$13, 100%, $E$13)</f>
        <v>4.2743000000000002</v>
      </c>
      <c r="D250" s="66">
        <f>4.2798 * CHOOSE(CONTROL!$C$23, $C$13, 100%, $E$13)</f>
        <v>4.2797999999999998</v>
      </c>
      <c r="E250" s="67">
        <f>5.2118 * CHOOSE(CONTROL!$C$23, $C$13, 100%, $E$13)</f>
        <v>5.2118000000000002</v>
      </c>
      <c r="F250" s="67">
        <f>5.2118 * CHOOSE(CONTROL!$C$23, $C$13, 100%, $E$13)</f>
        <v>5.2118000000000002</v>
      </c>
      <c r="G250" s="67">
        <f>5.2185 * CHOOSE(CONTROL!$C$23, $C$13, 100%, $E$13)</f>
        <v>5.2184999999999997</v>
      </c>
      <c r="H250" s="67">
        <f>9.5818* CHOOSE(CONTROL!$C$23, $C$13, 100%, $E$13)</f>
        <v>9.5817999999999994</v>
      </c>
      <c r="I250" s="67">
        <f>9.5885 * CHOOSE(CONTROL!$C$23, $C$13, 100%, $E$13)</f>
        <v>9.5884999999999998</v>
      </c>
      <c r="J250" s="67">
        <f>5.2118 * CHOOSE(CONTROL!$C$23, $C$13, 100%, $E$13)</f>
        <v>5.2118000000000002</v>
      </c>
      <c r="K250" s="67">
        <f>5.2185 * CHOOSE(CONTROL!$C$23, $C$13, 100%, $E$13)</f>
        <v>5.2184999999999997</v>
      </c>
    </row>
    <row r="251" spans="1:11" ht="15">
      <c r="A251" s="13">
        <v>48761</v>
      </c>
      <c r="B251" s="66">
        <f>4.3499 * CHOOSE(CONTROL!$C$23, $C$13, 100%, $E$13)</f>
        <v>4.3498999999999999</v>
      </c>
      <c r="C251" s="66">
        <f>4.3499 * CHOOSE(CONTROL!$C$23, $C$13, 100%, $E$13)</f>
        <v>4.3498999999999999</v>
      </c>
      <c r="D251" s="66">
        <f>4.3554 * CHOOSE(CONTROL!$C$23, $C$13, 100%, $E$13)</f>
        <v>4.3554000000000004</v>
      </c>
      <c r="E251" s="67">
        <f>5.3292 * CHOOSE(CONTROL!$C$23, $C$13, 100%, $E$13)</f>
        <v>5.3292000000000002</v>
      </c>
      <c r="F251" s="67">
        <f>5.3292 * CHOOSE(CONTROL!$C$23, $C$13, 100%, $E$13)</f>
        <v>5.3292000000000002</v>
      </c>
      <c r="G251" s="67">
        <f>5.336 * CHOOSE(CONTROL!$C$23, $C$13, 100%, $E$13)</f>
        <v>5.3360000000000003</v>
      </c>
      <c r="H251" s="67">
        <f>9.6017* CHOOSE(CONTROL!$C$23, $C$13, 100%, $E$13)</f>
        <v>9.6016999999999992</v>
      </c>
      <c r="I251" s="67">
        <f>9.6085 * CHOOSE(CONTROL!$C$23, $C$13, 100%, $E$13)</f>
        <v>9.6084999999999994</v>
      </c>
      <c r="J251" s="67">
        <f>5.3292 * CHOOSE(CONTROL!$C$23, $C$13, 100%, $E$13)</f>
        <v>5.3292000000000002</v>
      </c>
      <c r="K251" s="67">
        <f>5.336 * CHOOSE(CONTROL!$C$23, $C$13, 100%, $E$13)</f>
        <v>5.3360000000000003</v>
      </c>
    </row>
    <row r="252" spans="1:11" ht="15">
      <c r="A252" s="13">
        <v>48792</v>
      </c>
      <c r="B252" s="66">
        <f>4.3566 * CHOOSE(CONTROL!$C$23, $C$13, 100%, $E$13)</f>
        <v>4.3566000000000003</v>
      </c>
      <c r="C252" s="66">
        <f>4.3566 * CHOOSE(CONTROL!$C$23, $C$13, 100%, $E$13)</f>
        <v>4.3566000000000003</v>
      </c>
      <c r="D252" s="66">
        <f>4.3621 * CHOOSE(CONTROL!$C$23, $C$13, 100%, $E$13)</f>
        <v>4.3620999999999999</v>
      </c>
      <c r="E252" s="67">
        <f>5.2562 * CHOOSE(CONTROL!$C$23, $C$13, 100%, $E$13)</f>
        <v>5.2561999999999998</v>
      </c>
      <c r="F252" s="67">
        <f>5.2562 * CHOOSE(CONTROL!$C$23, $C$13, 100%, $E$13)</f>
        <v>5.2561999999999998</v>
      </c>
      <c r="G252" s="67">
        <f>5.2629 * CHOOSE(CONTROL!$C$23, $C$13, 100%, $E$13)</f>
        <v>5.2629000000000001</v>
      </c>
      <c r="H252" s="67">
        <f>9.6218* CHOOSE(CONTROL!$C$23, $C$13, 100%, $E$13)</f>
        <v>9.6218000000000004</v>
      </c>
      <c r="I252" s="67">
        <f>9.6285 * CHOOSE(CONTROL!$C$23, $C$13, 100%, $E$13)</f>
        <v>9.6285000000000007</v>
      </c>
      <c r="J252" s="67">
        <f>5.2562 * CHOOSE(CONTROL!$C$23, $C$13, 100%, $E$13)</f>
        <v>5.2561999999999998</v>
      </c>
      <c r="K252" s="67">
        <f>5.2629 * CHOOSE(CONTROL!$C$23, $C$13, 100%, $E$13)</f>
        <v>5.2629000000000001</v>
      </c>
    </row>
    <row r="253" spans="1:11" ht="15">
      <c r="A253" s="13">
        <v>48823</v>
      </c>
      <c r="B253" s="66">
        <f>4.3535 * CHOOSE(CONTROL!$C$23, $C$13, 100%, $E$13)</f>
        <v>4.3535000000000004</v>
      </c>
      <c r="C253" s="66">
        <f>4.3535 * CHOOSE(CONTROL!$C$23, $C$13, 100%, $E$13)</f>
        <v>4.3535000000000004</v>
      </c>
      <c r="D253" s="66">
        <f>4.359 * CHOOSE(CONTROL!$C$23, $C$13, 100%, $E$13)</f>
        <v>4.359</v>
      </c>
      <c r="E253" s="67">
        <f>5.2454 * CHOOSE(CONTROL!$C$23, $C$13, 100%, $E$13)</f>
        <v>5.2454000000000001</v>
      </c>
      <c r="F253" s="67">
        <f>5.2454 * CHOOSE(CONTROL!$C$23, $C$13, 100%, $E$13)</f>
        <v>5.2454000000000001</v>
      </c>
      <c r="G253" s="67">
        <f>5.2522 * CHOOSE(CONTROL!$C$23, $C$13, 100%, $E$13)</f>
        <v>5.2522000000000002</v>
      </c>
      <c r="H253" s="67">
        <f>9.6418* CHOOSE(CONTROL!$C$23, $C$13, 100%, $E$13)</f>
        <v>9.6417999999999999</v>
      </c>
      <c r="I253" s="67">
        <f>9.6485 * CHOOSE(CONTROL!$C$23, $C$13, 100%, $E$13)</f>
        <v>9.6485000000000003</v>
      </c>
      <c r="J253" s="67">
        <f>5.2454 * CHOOSE(CONTROL!$C$23, $C$13, 100%, $E$13)</f>
        <v>5.2454000000000001</v>
      </c>
      <c r="K253" s="67">
        <f>5.2522 * CHOOSE(CONTROL!$C$23, $C$13, 100%, $E$13)</f>
        <v>5.2522000000000002</v>
      </c>
    </row>
    <row r="254" spans="1:11" ht="15">
      <c r="A254" s="13">
        <v>48853</v>
      </c>
      <c r="B254" s="66">
        <f>4.3497 * CHOOSE(CONTROL!$C$23, $C$13, 100%, $E$13)</f>
        <v>4.3497000000000003</v>
      </c>
      <c r="C254" s="66">
        <f>4.3497 * CHOOSE(CONTROL!$C$23, $C$13, 100%, $E$13)</f>
        <v>4.3497000000000003</v>
      </c>
      <c r="D254" s="66">
        <f>4.3536 * CHOOSE(CONTROL!$C$23, $C$13, 100%, $E$13)</f>
        <v>4.3536000000000001</v>
      </c>
      <c r="E254" s="67">
        <f>5.2665 * CHOOSE(CONTROL!$C$23, $C$13, 100%, $E$13)</f>
        <v>5.2664999999999997</v>
      </c>
      <c r="F254" s="67">
        <f>5.2665 * CHOOSE(CONTROL!$C$23, $C$13, 100%, $E$13)</f>
        <v>5.2664999999999997</v>
      </c>
      <c r="G254" s="67">
        <f>5.2713 * CHOOSE(CONTROL!$C$23, $C$13, 100%, $E$13)</f>
        <v>5.2713000000000001</v>
      </c>
      <c r="H254" s="67">
        <f>9.6619* CHOOSE(CONTROL!$C$23, $C$13, 100%, $E$13)</f>
        <v>9.6618999999999993</v>
      </c>
      <c r="I254" s="67">
        <f>9.6667 * CHOOSE(CONTROL!$C$23, $C$13, 100%, $E$13)</f>
        <v>9.6667000000000005</v>
      </c>
      <c r="J254" s="67">
        <f>5.2665 * CHOOSE(CONTROL!$C$23, $C$13, 100%, $E$13)</f>
        <v>5.2664999999999997</v>
      </c>
      <c r="K254" s="67">
        <f>5.2713 * CHOOSE(CONTROL!$C$23, $C$13, 100%, $E$13)</f>
        <v>5.2713000000000001</v>
      </c>
    </row>
    <row r="255" spans="1:11" ht="15">
      <c r="A255" s="13">
        <v>48884</v>
      </c>
      <c r="B255" s="66">
        <f>4.3528 * CHOOSE(CONTROL!$C$23, $C$13, 100%, $E$13)</f>
        <v>4.3528000000000002</v>
      </c>
      <c r="C255" s="66">
        <f>4.3528 * CHOOSE(CONTROL!$C$23, $C$13, 100%, $E$13)</f>
        <v>4.3528000000000002</v>
      </c>
      <c r="D255" s="66">
        <f>4.3567 * CHOOSE(CONTROL!$C$23, $C$13, 100%, $E$13)</f>
        <v>4.3567</v>
      </c>
      <c r="E255" s="67">
        <f>5.2859 * CHOOSE(CONTROL!$C$23, $C$13, 100%, $E$13)</f>
        <v>5.2858999999999998</v>
      </c>
      <c r="F255" s="67">
        <f>5.2859 * CHOOSE(CONTROL!$C$23, $C$13, 100%, $E$13)</f>
        <v>5.2858999999999998</v>
      </c>
      <c r="G255" s="67">
        <f>5.2907 * CHOOSE(CONTROL!$C$23, $C$13, 100%, $E$13)</f>
        <v>5.2907000000000002</v>
      </c>
      <c r="H255" s="67">
        <f>9.682* CHOOSE(CONTROL!$C$23, $C$13, 100%, $E$13)</f>
        <v>9.6820000000000004</v>
      </c>
      <c r="I255" s="67">
        <f>9.6868 * CHOOSE(CONTROL!$C$23, $C$13, 100%, $E$13)</f>
        <v>9.6867999999999999</v>
      </c>
      <c r="J255" s="67">
        <f>5.2859 * CHOOSE(CONTROL!$C$23, $C$13, 100%, $E$13)</f>
        <v>5.2858999999999998</v>
      </c>
      <c r="K255" s="67">
        <f>5.2907 * CHOOSE(CONTROL!$C$23, $C$13, 100%, $E$13)</f>
        <v>5.2907000000000002</v>
      </c>
    </row>
    <row r="256" spans="1:11" ht="15">
      <c r="A256" s="13">
        <v>48914</v>
      </c>
      <c r="B256" s="66">
        <f>4.3528 * CHOOSE(CONTROL!$C$23, $C$13, 100%, $E$13)</f>
        <v>4.3528000000000002</v>
      </c>
      <c r="C256" s="66">
        <f>4.3528 * CHOOSE(CONTROL!$C$23, $C$13, 100%, $E$13)</f>
        <v>4.3528000000000002</v>
      </c>
      <c r="D256" s="66">
        <f>4.3567 * CHOOSE(CONTROL!$C$23, $C$13, 100%, $E$13)</f>
        <v>4.3567</v>
      </c>
      <c r="E256" s="67">
        <f>5.2427 * CHOOSE(CONTROL!$C$23, $C$13, 100%, $E$13)</f>
        <v>5.2427000000000001</v>
      </c>
      <c r="F256" s="67">
        <f>5.2427 * CHOOSE(CONTROL!$C$23, $C$13, 100%, $E$13)</f>
        <v>5.2427000000000001</v>
      </c>
      <c r="G256" s="67">
        <f>5.2475 * CHOOSE(CONTROL!$C$23, $C$13, 100%, $E$13)</f>
        <v>5.2474999999999996</v>
      </c>
      <c r="H256" s="67">
        <f>9.7022* CHOOSE(CONTROL!$C$23, $C$13, 100%, $E$13)</f>
        <v>9.7021999999999995</v>
      </c>
      <c r="I256" s="67">
        <f>9.707 * CHOOSE(CONTROL!$C$23, $C$13, 100%, $E$13)</f>
        <v>9.7070000000000007</v>
      </c>
      <c r="J256" s="67">
        <f>5.2427 * CHOOSE(CONTROL!$C$23, $C$13, 100%, $E$13)</f>
        <v>5.2427000000000001</v>
      </c>
      <c r="K256" s="67">
        <f>5.2475 * CHOOSE(CONTROL!$C$23, $C$13, 100%, $E$13)</f>
        <v>5.2474999999999996</v>
      </c>
    </row>
    <row r="257" spans="1:11" ht="15">
      <c r="A257" s="13">
        <v>48945</v>
      </c>
      <c r="B257" s="66">
        <f>4.3942 * CHOOSE(CONTROL!$C$23, $C$13, 100%, $E$13)</f>
        <v>4.3941999999999997</v>
      </c>
      <c r="C257" s="66">
        <f>4.3942 * CHOOSE(CONTROL!$C$23, $C$13, 100%, $E$13)</f>
        <v>4.3941999999999997</v>
      </c>
      <c r="D257" s="66">
        <f>4.398 * CHOOSE(CONTROL!$C$23, $C$13, 100%, $E$13)</f>
        <v>4.3979999999999997</v>
      </c>
      <c r="E257" s="67">
        <f>5.3259 * CHOOSE(CONTROL!$C$23, $C$13, 100%, $E$13)</f>
        <v>5.3258999999999999</v>
      </c>
      <c r="F257" s="67">
        <f>5.3259 * CHOOSE(CONTROL!$C$23, $C$13, 100%, $E$13)</f>
        <v>5.3258999999999999</v>
      </c>
      <c r="G257" s="67">
        <f>5.3307 * CHOOSE(CONTROL!$C$23, $C$13, 100%, $E$13)</f>
        <v>5.3307000000000002</v>
      </c>
      <c r="H257" s="67">
        <f>9.7224* CHOOSE(CONTROL!$C$23, $C$13, 100%, $E$13)</f>
        <v>9.7224000000000004</v>
      </c>
      <c r="I257" s="67">
        <f>9.7272 * CHOOSE(CONTROL!$C$23, $C$13, 100%, $E$13)</f>
        <v>9.7271999999999998</v>
      </c>
      <c r="J257" s="67">
        <f>5.3259 * CHOOSE(CONTROL!$C$23, $C$13, 100%, $E$13)</f>
        <v>5.3258999999999999</v>
      </c>
      <c r="K257" s="67">
        <f>5.3307 * CHOOSE(CONTROL!$C$23, $C$13, 100%, $E$13)</f>
        <v>5.3307000000000002</v>
      </c>
    </row>
    <row r="258" spans="1:11" ht="15">
      <c r="A258" s="13">
        <v>48976</v>
      </c>
      <c r="B258" s="66">
        <f>4.3911 * CHOOSE(CONTROL!$C$23, $C$13, 100%, $E$13)</f>
        <v>4.3910999999999998</v>
      </c>
      <c r="C258" s="66">
        <f>4.3911 * CHOOSE(CONTROL!$C$23, $C$13, 100%, $E$13)</f>
        <v>4.3910999999999998</v>
      </c>
      <c r="D258" s="66">
        <f>4.395 * CHOOSE(CONTROL!$C$23, $C$13, 100%, $E$13)</f>
        <v>4.3949999999999996</v>
      </c>
      <c r="E258" s="67">
        <f>5.24 * CHOOSE(CONTROL!$C$23, $C$13, 100%, $E$13)</f>
        <v>5.24</v>
      </c>
      <c r="F258" s="67">
        <f>5.24 * CHOOSE(CONTROL!$C$23, $C$13, 100%, $E$13)</f>
        <v>5.24</v>
      </c>
      <c r="G258" s="67">
        <f>5.2448 * CHOOSE(CONTROL!$C$23, $C$13, 100%, $E$13)</f>
        <v>5.2447999999999997</v>
      </c>
      <c r="H258" s="67">
        <f>9.7427* CHOOSE(CONTROL!$C$23, $C$13, 100%, $E$13)</f>
        <v>9.7426999999999992</v>
      </c>
      <c r="I258" s="67">
        <f>9.7474 * CHOOSE(CONTROL!$C$23, $C$13, 100%, $E$13)</f>
        <v>9.7474000000000007</v>
      </c>
      <c r="J258" s="67">
        <f>5.24 * CHOOSE(CONTROL!$C$23, $C$13, 100%, $E$13)</f>
        <v>5.24</v>
      </c>
      <c r="K258" s="67">
        <f>5.2448 * CHOOSE(CONTROL!$C$23, $C$13, 100%, $E$13)</f>
        <v>5.2447999999999997</v>
      </c>
    </row>
    <row r="259" spans="1:11" ht="15">
      <c r="A259" s="13">
        <v>49004</v>
      </c>
      <c r="B259" s="66">
        <f>4.3881 * CHOOSE(CONTROL!$C$23, $C$13, 100%, $E$13)</f>
        <v>4.3880999999999997</v>
      </c>
      <c r="C259" s="66">
        <f>4.3881 * CHOOSE(CONTROL!$C$23, $C$13, 100%, $E$13)</f>
        <v>4.3880999999999997</v>
      </c>
      <c r="D259" s="66">
        <f>4.3919 * CHOOSE(CONTROL!$C$23, $C$13, 100%, $E$13)</f>
        <v>4.3918999999999997</v>
      </c>
      <c r="E259" s="67">
        <f>5.304 * CHOOSE(CONTROL!$C$23, $C$13, 100%, $E$13)</f>
        <v>5.3040000000000003</v>
      </c>
      <c r="F259" s="67">
        <f>5.304 * CHOOSE(CONTROL!$C$23, $C$13, 100%, $E$13)</f>
        <v>5.3040000000000003</v>
      </c>
      <c r="G259" s="67">
        <f>5.3087 * CHOOSE(CONTROL!$C$23, $C$13, 100%, $E$13)</f>
        <v>5.3087</v>
      </c>
      <c r="H259" s="67">
        <f>9.7629* CHOOSE(CONTROL!$C$23, $C$13, 100%, $E$13)</f>
        <v>9.7629000000000001</v>
      </c>
      <c r="I259" s="67">
        <f>9.7677 * CHOOSE(CONTROL!$C$23, $C$13, 100%, $E$13)</f>
        <v>9.7676999999999996</v>
      </c>
      <c r="J259" s="67">
        <f>5.304 * CHOOSE(CONTROL!$C$23, $C$13, 100%, $E$13)</f>
        <v>5.3040000000000003</v>
      </c>
      <c r="K259" s="67">
        <f>5.3087 * CHOOSE(CONTROL!$C$23, $C$13, 100%, $E$13)</f>
        <v>5.3087</v>
      </c>
    </row>
    <row r="260" spans="1:11" ht="15">
      <c r="A260" s="13">
        <v>49035</v>
      </c>
      <c r="B260" s="66">
        <f>4.3861 * CHOOSE(CONTROL!$C$23, $C$13, 100%, $E$13)</f>
        <v>4.3860999999999999</v>
      </c>
      <c r="C260" s="66">
        <f>4.3861 * CHOOSE(CONTROL!$C$23, $C$13, 100%, $E$13)</f>
        <v>4.3860999999999999</v>
      </c>
      <c r="D260" s="66">
        <f>4.3899 * CHOOSE(CONTROL!$C$23, $C$13, 100%, $E$13)</f>
        <v>4.3898999999999999</v>
      </c>
      <c r="E260" s="67">
        <f>5.3707 * CHOOSE(CONTROL!$C$23, $C$13, 100%, $E$13)</f>
        <v>5.3707000000000003</v>
      </c>
      <c r="F260" s="67">
        <f>5.3707 * CHOOSE(CONTROL!$C$23, $C$13, 100%, $E$13)</f>
        <v>5.3707000000000003</v>
      </c>
      <c r="G260" s="67">
        <f>5.3754 * CHOOSE(CONTROL!$C$23, $C$13, 100%, $E$13)</f>
        <v>5.3754</v>
      </c>
      <c r="H260" s="67">
        <f>9.7833* CHOOSE(CONTROL!$C$23, $C$13, 100%, $E$13)</f>
        <v>9.7833000000000006</v>
      </c>
      <c r="I260" s="67">
        <f>9.7881 * CHOOSE(CONTROL!$C$23, $C$13, 100%, $E$13)</f>
        <v>9.7881</v>
      </c>
      <c r="J260" s="67">
        <f>5.3707 * CHOOSE(CONTROL!$C$23, $C$13, 100%, $E$13)</f>
        <v>5.3707000000000003</v>
      </c>
      <c r="K260" s="67">
        <f>5.3754 * CHOOSE(CONTROL!$C$23, $C$13, 100%, $E$13)</f>
        <v>5.3754</v>
      </c>
    </row>
    <row r="261" spans="1:11" ht="15">
      <c r="A261" s="13">
        <v>49065</v>
      </c>
      <c r="B261" s="66">
        <f>4.3861 * CHOOSE(CONTROL!$C$23, $C$13, 100%, $E$13)</f>
        <v>4.3860999999999999</v>
      </c>
      <c r="C261" s="66">
        <f>4.3861 * CHOOSE(CONTROL!$C$23, $C$13, 100%, $E$13)</f>
        <v>4.3860999999999999</v>
      </c>
      <c r="D261" s="66">
        <f>4.3916 * CHOOSE(CONTROL!$C$23, $C$13, 100%, $E$13)</f>
        <v>4.3916000000000004</v>
      </c>
      <c r="E261" s="67">
        <f>5.3973 * CHOOSE(CONTROL!$C$23, $C$13, 100%, $E$13)</f>
        <v>5.3973000000000004</v>
      </c>
      <c r="F261" s="67">
        <f>5.3973 * CHOOSE(CONTROL!$C$23, $C$13, 100%, $E$13)</f>
        <v>5.3973000000000004</v>
      </c>
      <c r="G261" s="67">
        <f>5.404 * CHOOSE(CONTROL!$C$23, $C$13, 100%, $E$13)</f>
        <v>5.4039999999999999</v>
      </c>
      <c r="H261" s="67">
        <f>9.8037* CHOOSE(CONTROL!$C$23, $C$13, 100%, $E$13)</f>
        <v>9.8036999999999992</v>
      </c>
      <c r="I261" s="67">
        <f>9.8104 * CHOOSE(CONTROL!$C$23, $C$13, 100%, $E$13)</f>
        <v>9.8103999999999996</v>
      </c>
      <c r="J261" s="67">
        <f>5.3973 * CHOOSE(CONTROL!$C$23, $C$13, 100%, $E$13)</f>
        <v>5.3973000000000004</v>
      </c>
      <c r="K261" s="67">
        <f>5.404 * CHOOSE(CONTROL!$C$23, $C$13, 100%, $E$13)</f>
        <v>5.4039999999999999</v>
      </c>
    </row>
    <row r="262" spans="1:11" ht="15">
      <c r="A262" s="13">
        <v>49096</v>
      </c>
      <c r="B262" s="66">
        <f>4.3921 * CHOOSE(CONTROL!$C$23, $C$13, 100%, $E$13)</f>
        <v>4.3921000000000001</v>
      </c>
      <c r="C262" s="66">
        <f>4.3921 * CHOOSE(CONTROL!$C$23, $C$13, 100%, $E$13)</f>
        <v>4.3921000000000001</v>
      </c>
      <c r="D262" s="66">
        <f>4.3976 * CHOOSE(CONTROL!$C$23, $C$13, 100%, $E$13)</f>
        <v>4.3975999999999997</v>
      </c>
      <c r="E262" s="67">
        <f>5.3749 * CHOOSE(CONTROL!$C$23, $C$13, 100%, $E$13)</f>
        <v>5.3749000000000002</v>
      </c>
      <c r="F262" s="67">
        <f>5.3749 * CHOOSE(CONTROL!$C$23, $C$13, 100%, $E$13)</f>
        <v>5.3749000000000002</v>
      </c>
      <c r="G262" s="67">
        <f>5.3816 * CHOOSE(CONTROL!$C$23, $C$13, 100%, $E$13)</f>
        <v>5.3815999999999997</v>
      </c>
      <c r="H262" s="67">
        <f>9.8241* CHOOSE(CONTROL!$C$23, $C$13, 100%, $E$13)</f>
        <v>9.8240999999999996</v>
      </c>
      <c r="I262" s="67">
        <f>9.8308 * CHOOSE(CONTROL!$C$23, $C$13, 100%, $E$13)</f>
        <v>9.8308</v>
      </c>
      <c r="J262" s="67">
        <f>5.3749 * CHOOSE(CONTROL!$C$23, $C$13, 100%, $E$13)</f>
        <v>5.3749000000000002</v>
      </c>
      <c r="K262" s="67">
        <f>5.3816 * CHOOSE(CONTROL!$C$23, $C$13, 100%, $E$13)</f>
        <v>5.3815999999999997</v>
      </c>
    </row>
    <row r="263" spans="1:11" ht="15">
      <c r="A263" s="13">
        <v>49126</v>
      </c>
      <c r="B263" s="66">
        <f>4.4705 * CHOOSE(CONTROL!$C$23, $C$13, 100%, $E$13)</f>
        <v>4.4705000000000004</v>
      </c>
      <c r="C263" s="66">
        <f>4.4705 * CHOOSE(CONTROL!$C$23, $C$13, 100%, $E$13)</f>
        <v>4.4705000000000004</v>
      </c>
      <c r="D263" s="66">
        <f>4.476 * CHOOSE(CONTROL!$C$23, $C$13, 100%, $E$13)</f>
        <v>4.476</v>
      </c>
      <c r="E263" s="67">
        <f>5.4902 * CHOOSE(CONTROL!$C$23, $C$13, 100%, $E$13)</f>
        <v>5.4901999999999997</v>
      </c>
      <c r="F263" s="67">
        <f>5.4902 * CHOOSE(CONTROL!$C$23, $C$13, 100%, $E$13)</f>
        <v>5.4901999999999997</v>
      </c>
      <c r="G263" s="67">
        <f>5.497 * CHOOSE(CONTROL!$C$23, $C$13, 100%, $E$13)</f>
        <v>5.4969999999999999</v>
      </c>
      <c r="H263" s="67">
        <f>9.8446* CHOOSE(CONTROL!$C$23, $C$13, 100%, $E$13)</f>
        <v>9.8445999999999998</v>
      </c>
      <c r="I263" s="67">
        <f>9.8513 * CHOOSE(CONTROL!$C$23, $C$13, 100%, $E$13)</f>
        <v>9.8513000000000002</v>
      </c>
      <c r="J263" s="67">
        <f>5.4902 * CHOOSE(CONTROL!$C$23, $C$13, 100%, $E$13)</f>
        <v>5.4901999999999997</v>
      </c>
      <c r="K263" s="67">
        <f>5.497 * CHOOSE(CONTROL!$C$23, $C$13, 100%, $E$13)</f>
        <v>5.4969999999999999</v>
      </c>
    </row>
    <row r="264" spans="1:11" ht="15">
      <c r="A264" s="13">
        <v>49157</v>
      </c>
      <c r="B264" s="66">
        <f>4.4771 * CHOOSE(CONTROL!$C$23, $C$13, 100%, $E$13)</f>
        <v>4.4771000000000001</v>
      </c>
      <c r="C264" s="66">
        <f>4.4771 * CHOOSE(CONTROL!$C$23, $C$13, 100%, $E$13)</f>
        <v>4.4771000000000001</v>
      </c>
      <c r="D264" s="66">
        <f>4.4826 * CHOOSE(CONTROL!$C$23, $C$13, 100%, $E$13)</f>
        <v>4.4825999999999997</v>
      </c>
      <c r="E264" s="67">
        <f>5.4151 * CHOOSE(CONTROL!$C$23, $C$13, 100%, $E$13)</f>
        <v>5.4150999999999998</v>
      </c>
      <c r="F264" s="67">
        <f>5.4151 * CHOOSE(CONTROL!$C$23, $C$13, 100%, $E$13)</f>
        <v>5.4150999999999998</v>
      </c>
      <c r="G264" s="67">
        <f>5.4218 * CHOOSE(CONTROL!$C$23, $C$13, 100%, $E$13)</f>
        <v>5.4218000000000002</v>
      </c>
      <c r="H264" s="67">
        <f>9.8651* CHOOSE(CONTROL!$C$23, $C$13, 100%, $E$13)</f>
        <v>9.8651</v>
      </c>
      <c r="I264" s="67">
        <f>9.8718 * CHOOSE(CONTROL!$C$23, $C$13, 100%, $E$13)</f>
        <v>9.8718000000000004</v>
      </c>
      <c r="J264" s="67">
        <f>5.4151 * CHOOSE(CONTROL!$C$23, $C$13, 100%, $E$13)</f>
        <v>5.4150999999999998</v>
      </c>
      <c r="K264" s="67">
        <f>5.4218 * CHOOSE(CONTROL!$C$23, $C$13, 100%, $E$13)</f>
        <v>5.4218000000000002</v>
      </c>
    </row>
    <row r="265" spans="1:11" ht="15">
      <c r="A265" s="13">
        <v>49188</v>
      </c>
      <c r="B265" s="66">
        <f>4.4741 * CHOOSE(CONTROL!$C$23, $C$13, 100%, $E$13)</f>
        <v>4.4741</v>
      </c>
      <c r="C265" s="66">
        <f>4.4741 * CHOOSE(CONTROL!$C$23, $C$13, 100%, $E$13)</f>
        <v>4.4741</v>
      </c>
      <c r="D265" s="66">
        <f>4.4796 * CHOOSE(CONTROL!$C$23, $C$13, 100%, $E$13)</f>
        <v>4.4795999999999996</v>
      </c>
      <c r="E265" s="67">
        <f>5.4041 * CHOOSE(CONTROL!$C$23, $C$13, 100%, $E$13)</f>
        <v>5.4040999999999997</v>
      </c>
      <c r="F265" s="67">
        <f>5.4041 * CHOOSE(CONTROL!$C$23, $C$13, 100%, $E$13)</f>
        <v>5.4040999999999997</v>
      </c>
      <c r="G265" s="67">
        <f>5.4108 * CHOOSE(CONTROL!$C$23, $C$13, 100%, $E$13)</f>
        <v>5.4108000000000001</v>
      </c>
      <c r="H265" s="67">
        <f>9.8856* CHOOSE(CONTROL!$C$23, $C$13, 100%, $E$13)</f>
        <v>9.8856000000000002</v>
      </c>
      <c r="I265" s="67">
        <f>9.8924 * CHOOSE(CONTROL!$C$23, $C$13, 100%, $E$13)</f>
        <v>9.8924000000000003</v>
      </c>
      <c r="J265" s="67">
        <f>5.4041 * CHOOSE(CONTROL!$C$23, $C$13, 100%, $E$13)</f>
        <v>5.4040999999999997</v>
      </c>
      <c r="K265" s="67">
        <f>5.4108 * CHOOSE(CONTROL!$C$23, $C$13, 100%, $E$13)</f>
        <v>5.4108000000000001</v>
      </c>
    </row>
    <row r="266" spans="1:11" ht="15">
      <c r="A266" s="13">
        <v>49218</v>
      </c>
      <c r="B266" s="66">
        <f>4.4707 * CHOOSE(CONTROL!$C$23, $C$13, 100%, $E$13)</f>
        <v>4.4706999999999999</v>
      </c>
      <c r="C266" s="66">
        <f>4.4707 * CHOOSE(CONTROL!$C$23, $C$13, 100%, $E$13)</f>
        <v>4.4706999999999999</v>
      </c>
      <c r="D266" s="66">
        <f>4.4746 * CHOOSE(CONTROL!$C$23, $C$13, 100%, $E$13)</f>
        <v>4.4745999999999997</v>
      </c>
      <c r="E266" s="67">
        <f>5.4261 * CHOOSE(CONTROL!$C$23, $C$13, 100%, $E$13)</f>
        <v>5.4260999999999999</v>
      </c>
      <c r="F266" s="67">
        <f>5.4261 * CHOOSE(CONTROL!$C$23, $C$13, 100%, $E$13)</f>
        <v>5.4260999999999999</v>
      </c>
      <c r="G266" s="67">
        <f>5.4309 * CHOOSE(CONTROL!$C$23, $C$13, 100%, $E$13)</f>
        <v>5.4309000000000003</v>
      </c>
      <c r="H266" s="67">
        <f>9.9062* CHOOSE(CONTROL!$C$23, $C$13, 100%, $E$13)</f>
        <v>9.9062000000000001</v>
      </c>
      <c r="I266" s="67">
        <f>9.911 * CHOOSE(CONTROL!$C$23, $C$13, 100%, $E$13)</f>
        <v>9.9109999999999996</v>
      </c>
      <c r="J266" s="67">
        <f>5.4261 * CHOOSE(CONTROL!$C$23, $C$13, 100%, $E$13)</f>
        <v>5.4260999999999999</v>
      </c>
      <c r="K266" s="67">
        <f>5.4309 * CHOOSE(CONTROL!$C$23, $C$13, 100%, $E$13)</f>
        <v>5.4309000000000003</v>
      </c>
    </row>
    <row r="267" spans="1:11" ht="15">
      <c r="A267" s="13">
        <v>49249</v>
      </c>
      <c r="B267" s="66">
        <f>4.4738 * CHOOSE(CONTROL!$C$23, $C$13, 100%, $E$13)</f>
        <v>4.4737999999999998</v>
      </c>
      <c r="C267" s="66">
        <f>4.4738 * CHOOSE(CONTROL!$C$23, $C$13, 100%, $E$13)</f>
        <v>4.4737999999999998</v>
      </c>
      <c r="D267" s="66">
        <f>4.4776 * CHOOSE(CONTROL!$C$23, $C$13, 100%, $E$13)</f>
        <v>4.4775999999999998</v>
      </c>
      <c r="E267" s="67">
        <f>5.446 * CHOOSE(CONTROL!$C$23, $C$13, 100%, $E$13)</f>
        <v>5.4459999999999997</v>
      </c>
      <c r="F267" s="67">
        <f>5.446 * CHOOSE(CONTROL!$C$23, $C$13, 100%, $E$13)</f>
        <v>5.4459999999999997</v>
      </c>
      <c r="G267" s="67">
        <f>5.4508 * CHOOSE(CONTROL!$C$23, $C$13, 100%, $E$13)</f>
        <v>5.4508000000000001</v>
      </c>
      <c r="H267" s="67">
        <f>9.9269* CHOOSE(CONTROL!$C$23, $C$13, 100%, $E$13)</f>
        <v>9.9268999999999998</v>
      </c>
      <c r="I267" s="67">
        <f>9.9316 * CHOOSE(CONTROL!$C$23, $C$13, 100%, $E$13)</f>
        <v>9.9315999999999995</v>
      </c>
      <c r="J267" s="67">
        <f>5.446 * CHOOSE(CONTROL!$C$23, $C$13, 100%, $E$13)</f>
        <v>5.4459999999999997</v>
      </c>
      <c r="K267" s="67">
        <f>5.4508 * CHOOSE(CONTROL!$C$23, $C$13, 100%, $E$13)</f>
        <v>5.4508000000000001</v>
      </c>
    </row>
    <row r="268" spans="1:11" ht="15">
      <c r="A268" s="13">
        <v>49279</v>
      </c>
      <c r="B268" s="66">
        <f>4.4738 * CHOOSE(CONTROL!$C$23, $C$13, 100%, $E$13)</f>
        <v>4.4737999999999998</v>
      </c>
      <c r="C268" s="66">
        <f>4.4738 * CHOOSE(CONTROL!$C$23, $C$13, 100%, $E$13)</f>
        <v>4.4737999999999998</v>
      </c>
      <c r="D268" s="66">
        <f>4.4776 * CHOOSE(CONTROL!$C$23, $C$13, 100%, $E$13)</f>
        <v>4.4775999999999998</v>
      </c>
      <c r="E268" s="67">
        <f>5.4016 * CHOOSE(CONTROL!$C$23, $C$13, 100%, $E$13)</f>
        <v>5.4016000000000002</v>
      </c>
      <c r="F268" s="67">
        <f>5.4016 * CHOOSE(CONTROL!$C$23, $C$13, 100%, $E$13)</f>
        <v>5.4016000000000002</v>
      </c>
      <c r="G268" s="67">
        <f>5.4064 * CHOOSE(CONTROL!$C$23, $C$13, 100%, $E$13)</f>
        <v>5.4063999999999997</v>
      </c>
      <c r="H268" s="67">
        <f>9.9475* CHOOSE(CONTROL!$C$23, $C$13, 100%, $E$13)</f>
        <v>9.9474999999999998</v>
      </c>
      <c r="I268" s="67">
        <f>9.9523 * CHOOSE(CONTROL!$C$23, $C$13, 100%, $E$13)</f>
        <v>9.9522999999999993</v>
      </c>
      <c r="J268" s="67">
        <f>5.4016 * CHOOSE(CONTROL!$C$23, $C$13, 100%, $E$13)</f>
        <v>5.4016000000000002</v>
      </c>
      <c r="K268" s="67">
        <f>5.4064 * CHOOSE(CONTROL!$C$23, $C$13, 100%, $E$13)</f>
        <v>5.4063999999999997</v>
      </c>
    </row>
    <row r="269" spans="1:11" ht="15">
      <c r="A269" s="13">
        <v>49310</v>
      </c>
      <c r="B269" s="66">
        <f>4.515 * CHOOSE(CONTROL!$C$23, $C$13, 100%, $E$13)</f>
        <v>4.5149999999999997</v>
      </c>
      <c r="C269" s="66">
        <f>4.515 * CHOOSE(CONTROL!$C$23, $C$13, 100%, $E$13)</f>
        <v>4.5149999999999997</v>
      </c>
      <c r="D269" s="66">
        <f>4.5188 * CHOOSE(CONTROL!$C$23, $C$13, 100%, $E$13)</f>
        <v>4.5187999999999997</v>
      </c>
      <c r="E269" s="67">
        <f>5.4889 * CHOOSE(CONTROL!$C$23, $C$13, 100%, $E$13)</f>
        <v>5.4889000000000001</v>
      </c>
      <c r="F269" s="67">
        <f>5.4889 * CHOOSE(CONTROL!$C$23, $C$13, 100%, $E$13)</f>
        <v>5.4889000000000001</v>
      </c>
      <c r="G269" s="67">
        <f>5.4936 * CHOOSE(CONTROL!$C$23, $C$13, 100%, $E$13)</f>
        <v>5.4935999999999998</v>
      </c>
      <c r="H269" s="67">
        <f>9.9683* CHOOSE(CONTROL!$C$23, $C$13, 100%, $E$13)</f>
        <v>9.9682999999999993</v>
      </c>
      <c r="I269" s="67">
        <f>9.973 * CHOOSE(CONTROL!$C$23, $C$13, 100%, $E$13)</f>
        <v>9.9730000000000008</v>
      </c>
      <c r="J269" s="67">
        <f>5.4889 * CHOOSE(CONTROL!$C$23, $C$13, 100%, $E$13)</f>
        <v>5.4889000000000001</v>
      </c>
      <c r="K269" s="67">
        <f>5.4936 * CHOOSE(CONTROL!$C$23, $C$13, 100%, $E$13)</f>
        <v>5.4935999999999998</v>
      </c>
    </row>
    <row r="270" spans="1:11" ht="15">
      <c r="A270" s="13">
        <v>49341</v>
      </c>
      <c r="B270" s="66">
        <f>4.5119 * CHOOSE(CONTROL!$C$23, $C$13, 100%, $E$13)</f>
        <v>4.5118999999999998</v>
      </c>
      <c r="C270" s="66">
        <f>4.5119 * CHOOSE(CONTROL!$C$23, $C$13, 100%, $E$13)</f>
        <v>4.5118999999999998</v>
      </c>
      <c r="D270" s="66">
        <f>4.5158 * CHOOSE(CONTROL!$C$23, $C$13, 100%, $E$13)</f>
        <v>4.5157999999999996</v>
      </c>
      <c r="E270" s="67">
        <f>5.4007 * CHOOSE(CONTROL!$C$23, $C$13, 100%, $E$13)</f>
        <v>5.4006999999999996</v>
      </c>
      <c r="F270" s="67">
        <f>5.4007 * CHOOSE(CONTROL!$C$23, $C$13, 100%, $E$13)</f>
        <v>5.4006999999999996</v>
      </c>
      <c r="G270" s="67">
        <f>5.4055 * CHOOSE(CONTROL!$C$23, $C$13, 100%, $E$13)</f>
        <v>5.4055</v>
      </c>
      <c r="H270" s="67">
        <f>9.989* CHOOSE(CONTROL!$C$23, $C$13, 100%, $E$13)</f>
        <v>9.9890000000000008</v>
      </c>
      <c r="I270" s="67">
        <f>9.9938 * CHOOSE(CONTROL!$C$23, $C$13, 100%, $E$13)</f>
        <v>9.9938000000000002</v>
      </c>
      <c r="J270" s="67">
        <f>5.4007 * CHOOSE(CONTROL!$C$23, $C$13, 100%, $E$13)</f>
        <v>5.4006999999999996</v>
      </c>
      <c r="K270" s="67">
        <f>5.4055 * CHOOSE(CONTROL!$C$23, $C$13, 100%, $E$13)</f>
        <v>5.4055</v>
      </c>
    </row>
    <row r="271" spans="1:11" ht="15">
      <c r="A271" s="13">
        <v>49369</v>
      </c>
      <c r="B271" s="66">
        <f>4.5089 * CHOOSE(CONTROL!$C$23, $C$13, 100%, $E$13)</f>
        <v>4.5088999999999997</v>
      </c>
      <c r="C271" s="66">
        <f>4.5089 * CHOOSE(CONTROL!$C$23, $C$13, 100%, $E$13)</f>
        <v>4.5088999999999997</v>
      </c>
      <c r="D271" s="66">
        <f>4.5128 * CHOOSE(CONTROL!$C$23, $C$13, 100%, $E$13)</f>
        <v>4.5128000000000004</v>
      </c>
      <c r="E271" s="67">
        <f>5.4664 * CHOOSE(CONTROL!$C$23, $C$13, 100%, $E$13)</f>
        <v>5.4664000000000001</v>
      </c>
      <c r="F271" s="67">
        <f>5.4664 * CHOOSE(CONTROL!$C$23, $C$13, 100%, $E$13)</f>
        <v>5.4664000000000001</v>
      </c>
      <c r="G271" s="67">
        <f>5.4712 * CHOOSE(CONTROL!$C$23, $C$13, 100%, $E$13)</f>
        <v>5.4711999999999996</v>
      </c>
      <c r="H271" s="67">
        <f>10.0098* CHOOSE(CONTROL!$C$23, $C$13, 100%, $E$13)</f>
        <v>10.0098</v>
      </c>
      <c r="I271" s="67">
        <f>10.0146 * CHOOSE(CONTROL!$C$23, $C$13, 100%, $E$13)</f>
        <v>10.0146</v>
      </c>
      <c r="J271" s="67">
        <f>5.4664 * CHOOSE(CONTROL!$C$23, $C$13, 100%, $E$13)</f>
        <v>5.4664000000000001</v>
      </c>
      <c r="K271" s="67">
        <f>5.4712 * CHOOSE(CONTROL!$C$23, $C$13, 100%, $E$13)</f>
        <v>5.4711999999999996</v>
      </c>
    </row>
    <row r="272" spans="1:11" ht="15">
      <c r="A272" s="13">
        <v>49400</v>
      </c>
      <c r="B272" s="66">
        <f>4.507 * CHOOSE(CONTROL!$C$23, $C$13, 100%, $E$13)</f>
        <v>4.5069999999999997</v>
      </c>
      <c r="C272" s="66">
        <f>4.507 * CHOOSE(CONTROL!$C$23, $C$13, 100%, $E$13)</f>
        <v>4.5069999999999997</v>
      </c>
      <c r="D272" s="66">
        <f>4.5108 * CHOOSE(CONTROL!$C$23, $C$13, 100%, $E$13)</f>
        <v>4.5107999999999997</v>
      </c>
      <c r="E272" s="67">
        <f>5.535 * CHOOSE(CONTROL!$C$23, $C$13, 100%, $E$13)</f>
        <v>5.5350000000000001</v>
      </c>
      <c r="F272" s="67">
        <f>5.535 * CHOOSE(CONTROL!$C$23, $C$13, 100%, $E$13)</f>
        <v>5.5350000000000001</v>
      </c>
      <c r="G272" s="67">
        <f>5.5398 * CHOOSE(CONTROL!$C$23, $C$13, 100%, $E$13)</f>
        <v>5.5397999999999996</v>
      </c>
      <c r="H272" s="67">
        <f>10.0307* CHOOSE(CONTROL!$C$23, $C$13, 100%, $E$13)</f>
        <v>10.0307</v>
      </c>
      <c r="I272" s="67">
        <f>10.0355 * CHOOSE(CONTROL!$C$23, $C$13, 100%, $E$13)</f>
        <v>10.035500000000001</v>
      </c>
      <c r="J272" s="67">
        <f>5.535 * CHOOSE(CONTROL!$C$23, $C$13, 100%, $E$13)</f>
        <v>5.5350000000000001</v>
      </c>
      <c r="K272" s="67">
        <f>5.5398 * CHOOSE(CONTROL!$C$23, $C$13, 100%, $E$13)</f>
        <v>5.5397999999999996</v>
      </c>
    </row>
    <row r="273" spans="1:11" ht="15">
      <c r="A273" s="13">
        <v>49430</v>
      </c>
      <c r="B273" s="66">
        <f>4.507 * CHOOSE(CONTROL!$C$23, $C$13, 100%, $E$13)</f>
        <v>4.5069999999999997</v>
      </c>
      <c r="C273" s="66">
        <f>4.507 * CHOOSE(CONTROL!$C$23, $C$13, 100%, $E$13)</f>
        <v>4.5069999999999997</v>
      </c>
      <c r="D273" s="66">
        <f>4.5125 * CHOOSE(CONTROL!$C$23, $C$13, 100%, $E$13)</f>
        <v>4.5125000000000002</v>
      </c>
      <c r="E273" s="67">
        <f>5.5623 * CHOOSE(CONTROL!$C$23, $C$13, 100%, $E$13)</f>
        <v>5.5622999999999996</v>
      </c>
      <c r="F273" s="67">
        <f>5.5623 * CHOOSE(CONTROL!$C$23, $C$13, 100%, $E$13)</f>
        <v>5.5622999999999996</v>
      </c>
      <c r="G273" s="67">
        <f>5.5691 * CHOOSE(CONTROL!$C$23, $C$13, 100%, $E$13)</f>
        <v>5.5690999999999997</v>
      </c>
      <c r="H273" s="67">
        <f>10.0516* CHOOSE(CONTROL!$C$23, $C$13, 100%, $E$13)</f>
        <v>10.051600000000001</v>
      </c>
      <c r="I273" s="67">
        <f>10.0583 * CHOOSE(CONTROL!$C$23, $C$13, 100%, $E$13)</f>
        <v>10.058299999999999</v>
      </c>
      <c r="J273" s="67">
        <f>5.5623 * CHOOSE(CONTROL!$C$23, $C$13, 100%, $E$13)</f>
        <v>5.5622999999999996</v>
      </c>
      <c r="K273" s="67">
        <f>5.5691 * CHOOSE(CONTROL!$C$23, $C$13, 100%, $E$13)</f>
        <v>5.5690999999999997</v>
      </c>
    </row>
    <row r="274" spans="1:11" ht="15">
      <c r="A274" s="13">
        <v>49461</v>
      </c>
      <c r="B274" s="66">
        <f>4.5131 * CHOOSE(CONTROL!$C$23, $C$13, 100%, $E$13)</f>
        <v>4.5130999999999997</v>
      </c>
      <c r="C274" s="66">
        <f>4.5131 * CHOOSE(CONTROL!$C$23, $C$13, 100%, $E$13)</f>
        <v>4.5130999999999997</v>
      </c>
      <c r="D274" s="66">
        <f>4.5186 * CHOOSE(CONTROL!$C$23, $C$13, 100%, $E$13)</f>
        <v>4.5186000000000002</v>
      </c>
      <c r="E274" s="67">
        <f>5.5393 * CHOOSE(CONTROL!$C$23, $C$13, 100%, $E$13)</f>
        <v>5.5392999999999999</v>
      </c>
      <c r="F274" s="67">
        <f>5.5393 * CHOOSE(CONTROL!$C$23, $C$13, 100%, $E$13)</f>
        <v>5.5392999999999999</v>
      </c>
      <c r="G274" s="67">
        <f>5.546 * CHOOSE(CONTROL!$C$23, $C$13, 100%, $E$13)</f>
        <v>5.5460000000000003</v>
      </c>
      <c r="H274" s="67">
        <f>10.0725* CHOOSE(CONTROL!$C$23, $C$13, 100%, $E$13)</f>
        <v>10.0725</v>
      </c>
      <c r="I274" s="67">
        <f>10.0793 * CHOOSE(CONTROL!$C$23, $C$13, 100%, $E$13)</f>
        <v>10.0793</v>
      </c>
      <c r="J274" s="67">
        <f>5.5393 * CHOOSE(CONTROL!$C$23, $C$13, 100%, $E$13)</f>
        <v>5.5392999999999999</v>
      </c>
      <c r="K274" s="67">
        <f>5.546 * CHOOSE(CONTROL!$C$23, $C$13, 100%, $E$13)</f>
        <v>5.5460000000000003</v>
      </c>
    </row>
    <row r="275" spans="1:11" ht="15">
      <c r="A275" s="13">
        <v>49491</v>
      </c>
      <c r="B275" s="66">
        <f>4.5909 * CHOOSE(CONTROL!$C$23, $C$13, 100%, $E$13)</f>
        <v>4.5909000000000004</v>
      </c>
      <c r="C275" s="66">
        <f>4.5909 * CHOOSE(CONTROL!$C$23, $C$13, 100%, $E$13)</f>
        <v>4.5909000000000004</v>
      </c>
      <c r="D275" s="66">
        <f>4.5964 * CHOOSE(CONTROL!$C$23, $C$13, 100%, $E$13)</f>
        <v>4.5964</v>
      </c>
      <c r="E275" s="67">
        <f>5.6624 * CHOOSE(CONTROL!$C$23, $C$13, 100%, $E$13)</f>
        <v>5.6623999999999999</v>
      </c>
      <c r="F275" s="67">
        <f>5.6624 * CHOOSE(CONTROL!$C$23, $C$13, 100%, $E$13)</f>
        <v>5.6623999999999999</v>
      </c>
      <c r="G275" s="67">
        <f>5.6691 * CHOOSE(CONTROL!$C$23, $C$13, 100%, $E$13)</f>
        <v>5.6691000000000003</v>
      </c>
      <c r="H275" s="67">
        <f>10.0935* CHOOSE(CONTROL!$C$23, $C$13, 100%, $E$13)</f>
        <v>10.093500000000001</v>
      </c>
      <c r="I275" s="67">
        <f>10.1003 * CHOOSE(CONTROL!$C$23, $C$13, 100%, $E$13)</f>
        <v>10.100300000000001</v>
      </c>
      <c r="J275" s="67">
        <f>5.6624 * CHOOSE(CONTROL!$C$23, $C$13, 100%, $E$13)</f>
        <v>5.6623999999999999</v>
      </c>
      <c r="K275" s="67">
        <f>5.6691 * CHOOSE(CONTROL!$C$23, $C$13, 100%, $E$13)</f>
        <v>5.6691000000000003</v>
      </c>
    </row>
    <row r="276" spans="1:11" ht="15">
      <c r="A276" s="13">
        <v>49522</v>
      </c>
      <c r="B276" s="66">
        <f>4.5975 * CHOOSE(CONTROL!$C$23, $C$13, 100%, $E$13)</f>
        <v>4.5975000000000001</v>
      </c>
      <c r="C276" s="66">
        <f>4.5975 * CHOOSE(CONTROL!$C$23, $C$13, 100%, $E$13)</f>
        <v>4.5975000000000001</v>
      </c>
      <c r="D276" s="66">
        <f>4.6031 * CHOOSE(CONTROL!$C$23, $C$13, 100%, $E$13)</f>
        <v>4.6031000000000004</v>
      </c>
      <c r="E276" s="67">
        <f>5.5851 * CHOOSE(CONTROL!$C$23, $C$13, 100%, $E$13)</f>
        <v>5.5850999999999997</v>
      </c>
      <c r="F276" s="67">
        <f>5.5851 * CHOOSE(CONTROL!$C$23, $C$13, 100%, $E$13)</f>
        <v>5.5850999999999997</v>
      </c>
      <c r="G276" s="67">
        <f>5.5918 * CHOOSE(CONTROL!$C$23, $C$13, 100%, $E$13)</f>
        <v>5.5918000000000001</v>
      </c>
      <c r="H276" s="67">
        <f>10.1145* CHOOSE(CONTROL!$C$23, $C$13, 100%, $E$13)</f>
        <v>10.1145</v>
      </c>
      <c r="I276" s="67">
        <f>10.1213 * CHOOSE(CONTROL!$C$23, $C$13, 100%, $E$13)</f>
        <v>10.1213</v>
      </c>
      <c r="J276" s="67">
        <f>5.5851 * CHOOSE(CONTROL!$C$23, $C$13, 100%, $E$13)</f>
        <v>5.5850999999999997</v>
      </c>
      <c r="K276" s="67">
        <f>5.5918 * CHOOSE(CONTROL!$C$23, $C$13, 100%, $E$13)</f>
        <v>5.5918000000000001</v>
      </c>
    </row>
    <row r="277" spans="1:11" ht="15">
      <c r="A277" s="13">
        <v>49553</v>
      </c>
      <c r="B277" s="66">
        <f>4.5945 * CHOOSE(CONTROL!$C$23, $C$13, 100%, $E$13)</f>
        <v>4.5945</v>
      </c>
      <c r="C277" s="66">
        <f>4.5945 * CHOOSE(CONTROL!$C$23, $C$13, 100%, $E$13)</f>
        <v>4.5945</v>
      </c>
      <c r="D277" s="66">
        <f>4.6 * CHOOSE(CONTROL!$C$23, $C$13, 100%, $E$13)</f>
        <v>4.5999999999999996</v>
      </c>
      <c r="E277" s="67">
        <f>5.5739 * CHOOSE(CONTROL!$C$23, $C$13, 100%, $E$13)</f>
        <v>5.5739000000000001</v>
      </c>
      <c r="F277" s="67">
        <f>5.5739 * CHOOSE(CONTROL!$C$23, $C$13, 100%, $E$13)</f>
        <v>5.5739000000000001</v>
      </c>
      <c r="G277" s="67">
        <f>5.5806 * CHOOSE(CONTROL!$C$23, $C$13, 100%, $E$13)</f>
        <v>5.5805999999999996</v>
      </c>
      <c r="H277" s="67">
        <f>10.1356* CHOOSE(CONTROL!$C$23, $C$13, 100%, $E$13)</f>
        <v>10.1356</v>
      </c>
      <c r="I277" s="67">
        <f>10.1424 * CHOOSE(CONTROL!$C$23, $C$13, 100%, $E$13)</f>
        <v>10.1424</v>
      </c>
      <c r="J277" s="67">
        <f>5.5739 * CHOOSE(CONTROL!$C$23, $C$13, 100%, $E$13)</f>
        <v>5.5739000000000001</v>
      </c>
      <c r="K277" s="67">
        <f>5.5806 * CHOOSE(CONTROL!$C$23, $C$13, 100%, $E$13)</f>
        <v>5.5805999999999996</v>
      </c>
    </row>
    <row r="278" spans="1:11" ht="15">
      <c r="A278" s="13">
        <v>49583</v>
      </c>
      <c r="B278" s="66">
        <f>4.5915 * CHOOSE(CONTROL!$C$23, $C$13, 100%, $E$13)</f>
        <v>4.5914999999999999</v>
      </c>
      <c r="C278" s="66">
        <f>4.5915 * CHOOSE(CONTROL!$C$23, $C$13, 100%, $E$13)</f>
        <v>4.5914999999999999</v>
      </c>
      <c r="D278" s="66">
        <f>4.5954 * CHOOSE(CONTROL!$C$23, $C$13, 100%, $E$13)</f>
        <v>4.5953999999999997</v>
      </c>
      <c r="E278" s="67">
        <f>5.5969 * CHOOSE(CONTROL!$C$23, $C$13, 100%, $E$13)</f>
        <v>5.5968999999999998</v>
      </c>
      <c r="F278" s="67">
        <f>5.5969 * CHOOSE(CONTROL!$C$23, $C$13, 100%, $E$13)</f>
        <v>5.5968999999999998</v>
      </c>
      <c r="G278" s="67">
        <f>5.6016 * CHOOSE(CONTROL!$C$23, $C$13, 100%, $E$13)</f>
        <v>5.6016000000000004</v>
      </c>
      <c r="H278" s="67">
        <f>10.1567* CHOOSE(CONTROL!$C$23, $C$13, 100%, $E$13)</f>
        <v>10.156700000000001</v>
      </c>
      <c r="I278" s="67">
        <f>10.1615 * CHOOSE(CONTROL!$C$23, $C$13, 100%, $E$13)</f>
        <v>10.1615</v>
      </c>
      <c r="J278" s="67">
        <f>5.5969 * CHOOSE(CONTROL!$C$23, $C$13, 100%, $E$13)</f>
        <v>5.5968999999999998</v>
      </c>
      <c r="K278" s="67">
        <f>5.6016 * CHOOSE(CONTROL!$C$23, $C$13, 100%, $E$13)</f>
        <v>5.6016000000000004</v>
      </c>
    </row>
    <row r="279" spans="1:11" ht="15">
      <c r="A279" s="13">
        <v>49614</v>
      </c>
      <c r="B279" s="66">
        <f>4.5946 * CHOOSE(CONTROL!$C$23, $C$13, 100%, $E$13)</f>
        <v>4.5945999999999998</v>
      </c>
      <c r="C279" s="66">
        <f>4.5946 * CHOOSE(CONTROL!$C$23, $C$13, 100%, $E$13)</f>
        <v>4.5945999999999998</v>
      </c>
      <c r="D279" s="66">
        <f>4.5984 * CHOOSE(CONTROL!$C$23, $C$13, 100%, $E$13)</f>
        <v>4.5983999999999998</v>
      </c>
      <c r="E279" s="67">
        <f>5.6172 * CHOOSE(CONTROL!$C$23, $C$13, 100%, $E$13)</f>
        <v>5.6172000000000004</v>
      </c>
      <c r="F279" s="67">
        <f>5.6172 * CHOOSE(CONTROL!$C$23, $C$13, 100%, $E$13)</f>
        <v>5.6172000000000004</v>
      </c>
      <c r="G279" s="67">
        <f>5.622 * CHOOSE(CONTROL!$C$23, $C$13, 100%, $E$13)</f>
        <v>5.6219999999999999</v>
      </c>
      <c r="H279" s="67">
        <f>10.1779* CHOOSE(CONTROL!$C$23, $C$13, 100%, $E$13)</f>
        <v>10.177899999999999</v>
      </c>
      <c r="I279" s="67">
        <f>10.1827 * CHOOSE(CONTROL!$C$23, $C$13, 100%, $E$13)</f>
        <v>10.182700000000001</v>
      </c>
      <c r="J279" s="67">
        <f>5.6172 * CHOOSE(CONTROL!$C$23, $C$13, 100%, $E$13)</f>
        <v>5.6172000000000004</v>
      </c>
      <c r="K279" s="67">
        <f>5.622 * CHOOSE(CONTROL!$C$23, $C$13, 100%, $E$13)</f>
        <v>5.6219999999999999</v>
      </c>
    </row>
    <row r="280" spans="1:11" ht="15">
      <c r="A280" s="13">
        <v>49644</v>
      </c>
      <c r="B280" s="66">
        <f>4.5946 * CHOOSE(CONTROL!$C$23, $C$13, 100%, $E$13)</f>
        <v>4.5945999999999998</v>
      </c>
      <c r="C280" s="66">
        <f>4.5946 * CHOOSE(CONTROL!$C$23, $C$13, 100%, $E$13)</f>
        <v>4.5945999999999998</v>
      </c>
      <c r="D280" s="66">
        <f>4.5984 * CHOOSE(CONTROL!$C$23, $C$13, 100%, $E$13)</f>
        <v>4.5983999999999998</v>
      </c>
      <c r="E280" s="67">
        <f>5.5717 * CHOOSE(CONTROL!$C$23, $C$13, 100%, $E$13)</f>
        <v>5.5716999999999999</v>
      </c>
      <c r="F280" s="67">
        <f>5.5717 * CHOOSE(CONTROL!$C$23, $C$13, 100%, $E$13)</f>
        <v>5.5716999999999999</v>
      </c>
      <c r="G280" s="67">
        <f>5.5764 * CHOOSE(CONTROL!$C$23, $C$13, 100%, $E$13)</f>
        <v>5.5763999999999996</v>
      </c>
      <c r="H280" s="67">
        <f>10.1991* CHOOSE(CONTROL!$C$23, $C$13, 100%, $E$13)</f>
        <v>10.1991</v>
      </c>
      <c r="I280" s="67">
        <f>10.2039 * CHOOSE(CONTROL!$C$23, $C$13, 100%, $E$13)</f>
        <v>10.203900000000001</v>
      </c>
      <c r="J280" s="67">
        <f>5.5717 * CHOOSE(CONTROL!$C$23, $C$13, 100%, $E$13)</f>
        <v>5.5716999999999999</v>
      </c>
      <c r="K280" s="67">
        <f>5.5764 * CHOOSE(CONTROL!$C$23, $C$13, 100%, $E$13)</f>
        <v>5.5763999999999996</v>
      </c>
    </row>
    <row r="281" spans="1:11" ht="15">
      <c r="A281" s="13">
        <v>49675</v>
      </c>
      <c r="B281" s="66">
        <f>4.6362 * CHOOSE(CONTROL!$C$23, $C$13, 100%, $E$13)</f>
        <v>4.6361999999999997</v>
      </c>
      <c r="C281" s="66">
        <f>4.6362 * CHOOSE(CONTROL!$C$23, $C$13, 100%, $E$13)</f>
        <v>4.6361999999999997</v>
      </c>
      <c r="D281" s="66">
        <f>4.6401 * CHOOSE(CONTROL!$C$23, $C$13, 100%, $E$13)</f>
        <v>4.6401000000000003</v>
      </c>
      <c r="E281" s="67">
        <f>5.6558 * CHOOSE(CONTROL!$C$23, $C$13, 100%, $E$13)</f>
        <v>5.6558000000000002</v>
      </c>
      <c r="F281" s="67">
        <f>5.6558 * CHOOSE(CONTROL!$C$23, $C$13, 100%, $E$13)</f>
        <v>5.6558000000000002</v>
      </c>
      <c r="G281" s="67">
        <f>5.6606 * CHOOSE(CONTROL!$C$23, $C$13, 100%, $E$13)</f>
        <v>5.6605999999999996</v>
      </c>
      <c r="H281" s="67">
        <f>10.2203* CHOOSE(CONTROL!$C$23, $C$13, 100%, $E$13)</f>
        <v>10.2203</v>
      </c>
      <c r="I281" s="67">
        <f>10.2251 * CHOOSE(CONTROL!$C$23, $C$13, 100%, $E$13)</f>
        <v>10.225099999999999</v>
      </c>
      <c r="J281" s="67">
        <f>5.6558 * CHOOSE(CONTROL!$C$23, $C$13, 100%, $E$13)</f>
        <v>5.6558000000000002</v>
      </c>
      <c r="K281" s="67">
        <f>5.6606 * CHOOSE(CONTROL!$C$23, $C$13, 100%, $E$13)</f>
        <v>5.6605999999999996</v>
      </c>
    </row>
    <row r="282" spans="1:11" ht="15">
      <c r="A282" s="13">
        <v>49706</v>
      </c>
      <c r="B282" s="66">
        <f>4.6332 * CHOOSE(CONTROL!$C$23, $C$13, 100%, $E$13)</f>
        <v>4.6332000000000004</v>
      </c>
      <c r="C282" s="66">
        <f>4.6332 * CHOOSE(CONTROL!$C$23, $C$13, 100%, $E$13)</f>
        <v>4.6332000000000004</v>
      </c>
      <c r="D282" s="66">
        <f>4.637 * CHOOSE(CONTROL!$C$23, $C$13, 100%, $E$13)</f>
        <v>4.6369999999999996</v>
      </c>
      <c r="E282" s="67">
        <f>5.5653 * CHOOSE(CONTROL!$C$23, $C$13, 100%, $E$13)</f>
        <v>5.5652999999999997</v>
      </c>
      <c r="F282" s="67">
        <f>5.5653 * CHOOSE(CONTROL!$C$23, $C$13, 100%, $E$13)</f>
        <v>5.5652999999999997</v>
      </c>
      <c r="G282" s="67">
        <f>5.5701 * CHOOSE(CONTROL!$C$23, $C$13, 100%, $E$13)</f>
        <v>5.5701000000000001</v>
      </c>
      <c r="H282" s="67">
        <f>10.2416* CHOOSE(CONTROL!$C$23, $C$13, 100%, $E$13)</f>
        <v>10.2416</v>
      </c>
      <c r="I282" s="67">
        <f>10.2464 * CHOOSE(CONTROL!$C$23, $C$13, 100%, $E$13)</f>
        <v>10.2464</v>
      </c>
      <c r="J282" s="67">
        <f>5.5653 * CHOOSE(CONTROL!$C$23, $C$13, 100%, $E$13)</f>
        <v>5.5652999999999997</v>
      </c>
      <c r="K282" s="67">
        <f>5.5701 * CHOOSE(CONTROL!$C$23, $C$13, 100%, $E$13)</f>
        <v>5.5701000000000001</v>
      </c>
    </row>
    <row r="283" spans="1:11" ht="15">
      <c r="A283" s="13">
        <v>49735</v>
      </c>
      <c r="B283" s="66">
        <f>4.6301 * CHOOSE(CONTROL!$C$23, $C$13, 100%, $E$13)</f>
        <v>4.6300999999999997</v>
      </c>
      <c r="C283" s="66">
        <f>4.6301 * CHOOSE(CONTROL!$C$23, $C$13, 100%, $E$13)</f>
        <v>4.6300999999999997</v>
      </c>
      <c r="D283" s="66">
        <f>4.634 * CHOOSE(CONTROL!$C$23, $C$13, 100%, $E$13)</f>
        <v>4.6340000000000003</v>
      </c>
      <c r="E283" s="67">
        <f>5.6329 * CHOOSE(CONTROL!$C$23, $C$13, 100%, $E$13)</f>
        <v>5.6329000000000002</v>
      </c>
      <c r="F283" s="67">
        <f>5.6329 * CHOOSE(CONTROL!$C$23, $C$13, 100%, $E$13)</f>
        <v>5.6329000000000002</v>
      </c>
      <c r="G283" s="67">
        <f>5.6377 * CHOOSE(CONTROL!$C$23, $C$13, 100%, $E$13)</f>
        <v>5.6376999999999997</v>
      </c>
      <c r="H283" s="67">
        <f>10.263* CHOOSE(CONTROL!$C$23, $C$13, 100%, $E$13)</f>
        <v>10.263</v>
      </c>
      <c r="I283" s="67">
        <f>10.2677 * CHOOSE(CONTROL!$C$23, $C$13, 100%, $E$13)</f>
        <v>10.2677</v>
      </c>
      <c r="J283" s="67">
        <f>5.6329 * CHOOSE(CONTROL!$C$23, $C$13, 100%, $E$13)</f>
        <v>5.6329000000000002</v>
      </c>
      <c r="K283" s="67">
        <f>5.6377 * CHOOSE(CONTROL!$C$23, $C$13, 100%, $E$13)</f>
        <v>5.6376999999999997</v>
      </c>
    </row>
    <row r="284" spans="1:11" ht="15">
      <c r="A284" s="13">
        <v>49766</v>
      </c>
      <c r="B284" s="66">
        <f>4.6283 * CHOOSE(CONTROL!$C$23, $C$13, 100%, $E$13)</f>
        <v>4.6283000000000003</v>
      </c>
      <c r="C284" s="66">
        <f>4.6283 * CHOOSE(CONTROL!$C$23, $C$13, 100%, $E$13)</f>
        <v>4.6283000000000003</v>
      </c>
      <c r="D284" s="66">
        <f>4.6322 * CHOOSE(CONTROL!$C$23, $C$13, 100%, $E$13)</f>
        <v>4.6322000000000001</v>
      </c>
      <c r="E284" s="67">
        <f>5.7035 * CHOOSE(CONTROL!$C$23, $C$13, 100%, $E$13)</f>
        <v>5.7035</v>
      </c>
      <c r="F284" s="67">
        <f>5.7035 * CHOOSE(CONTROL!$C$23, $C$13, 100%, $E$13)</f>
        <v>5.7035</v>
      </c>
      <c r="G284" s="67">
        <f>5.7082 * CHOOSE(CONTROL!$C$23, $C$13, 100%, $E$13)</f>
        <v>5.7081999999999997</v>
      </c>
      <c r="H284" s="67">
        <f>10.2844* CHOOSE(CONTROL!$C$23, $C$13, 100%, $E$13)</f>
        <v>10.2844</v>
      </c>
      <c r="I284" s="67">
        <f>10.2891 * CHOOSE(CONTROL!$C$23, $C$13, 100%, $E$13)</f>
        <v>10.289099999999999</v>
      </c>
      <c r="J284" s="67">
        <f>5.7035 * CHOOSE(CONTROL!$C$23, $C$13, 100%, $E$13)</f>
        <v>5.7035</v>
      </c>
      <c r="K284" s="67">
        <f>5.7082 * CHOOSE(CONTROL!$C$23, $C$13, 100%, $E$13)</f>
        <v>5.7081999999999997</v>
      </c>
    </row>
    <row r="285" spans="1:11" ht="15">
      <c r="A285" s="13">
        <v>49796</v>
      </c>
      <c r="B285" s="66">
        <f>4.6283 * CHOOSE(CONTROL!$C$23, $C$13, 100%, $E$13)</f>
        <v>4.6283000000000003</v>
      </c>
      <c r="C285" s="66">
        <f>4.6283 * CHOOSE(CONTROL!$C$23, $C$13, 100%, $E$13)</f>
        <v>4.6283000000000003</v>
      </c>
      <c r="D285" s="66">
        <f>4.6338 * CHOOSE(CONTROL!$C$23, $C$13, 100%, $E$13)</f>
        <v>4.6337999999999999</v>
      </c>
      <c r="E285" s="67">
        <f>5.7315 * CHOOSE(CONTROL!$C$23, $C$13, 100%, $E$13)</f>
        <v>5.7314999999999996</v>
      </c>
      <c r="F285" s="67">
        <f>5.7315 * CHOOSE(CONTROL!$C$23, $C$13, 100%, $E$13)</f>
        <v>5.7314999999999996</v>
      </c>
      <c r="G285" s="67">
        <f>5.7383 * CHOOSE(CONTROL!$C$23, $C$13, 100%, $E$13)</f>
        <v>5.7382999999999997</v>
      </c>
      <c r="H285" s="67">
        <f>10.3058* CHOOSE(CONTROL!$C$23, $C$13, 100%, $E$13)</f>
        <v>10.3058</v>
      </c>
      <c r="I285" s="67">
        <f>10.3125 * CHOOSE(CONTROL!$C$23, $C$13, 100%, $E$13)</f>
        <v>10.3125</v>
      </c>
      <c r="J285" s="67">
        <f>5.7315 * CHOOSE(CONTROL!$C$23, $C$13, 100%, $E$13)</f>
        <v>5.7314999999999996</v>
      </c>
      <c r="K285" s="67">
        <f>5.7383 * CHOOSE(CONTROL!$C$23, $C$13, 100%, $E$13)</f>
        <v>5.7382999999999997</v>
      </c>
    </row>
    <row r="286" spans="1:11" ht="15">
      <c r="A286" s="13">
        <v>49827</v>
      </c>
      <c r="B286" s="66">
        <f>4.6344 * CHOOSE(CONTROL!$C$23, $C$13, 100%, $E$13)</f>
        <v>4.6344000000000003</v>
      </c>
      <c r="C286" s="66">
        <f>4.6344 * CHOOSE(CONTROL!$C$23, $C$13, 100%, $E$13)</f>
        <v>4.6344000000000003</v>
      </c>
      <c r="D286" s="66">
        <f>4.6399 * CHOOSE(CONTROL!$C$23, $C$13, 100%, $E$13)</f>
        <v>4.6398999999999999</v>
      </c>
      <c r="E286" s="67">
        <f>5.7077 * CHOOSE(CONTROL!$C$23, $C$13, 100%, $E$13)</f>
        <v>5.7077</v>
      </c>
      <c r="F286" s="67">
        <f>5.7077 * CHOOSE(CONTROL!$C$23, $C$13, 100%, $E$13)</f>
        <v>5.7077</v>
      </c>
      <c r="G286" s="67">
        <f>5.7144 * CHOOSE(CONTROL!$C$23, $C$13, 100%, $E$13)</f>
        <v>5.7144000000000004</v>
      </c>
      <c r="H286" s="67">
        <f>10.3273* CHOOSE(CONTROL!$C$23, $C$13, 100%, $E$13)</f>
        <v>10.327299999999999</v>
      </c>
      <c r="I286" s="67">
        <f>10.334 * CHOOSE(CONTROL!$C$23, $C$13, 100%, $E$13)</f>
        <v>10.334</v>
      </c>
      <c r="J286" s="67">
        <f>5.7077 * CHOOSE(CONTROL!$C$23, $C$13, 100%, $E$13)</f>
        <v>5.7077</v>
      </c>
      <c r="K286" s="67">
        <f>5.7144 * CHOOSE(CONTROL!$C$23, $C$13, 100%, $E$13)</f>
        <v>5.7144000000000004</v>
      </c>
    </row>
    <row r="287" spans="1:11" ht="15">
      <c r="A287" s="13">
        <v>49857</v>
      </c>
      <c r="B287" s="66">
        <f>4.7122 * CHOOSE(CONTROL!$C$23, $C$13, 100%, $E$13)</f>
        <v>4.7122000000000002</v>
      </c>
      <c r="C287" s="66">
        <f>4.7122 * CHOOSE(CONTROL!$C$23, $C$13, 100%, $E$13)</f>
        <v>4.7122000000000002</v>
      </c>
      <c r="D287" s="66">
        <f>4.7177 * CHOOSE(CONTROL!$C$23, $C$13, 100%, $E$13)</f>
        <v>4.7176999999999998</v>
      </c>
      <c r="E287" s="67">
        <f>5.8199 * CHOOSE(CONTROL!$C$23, $C$13, 100%, $E$13)</f>
        <v>5.8198999999999996</v>
      </c>
      <c r="F287" s="67">
        <f>5.8199 * CHOOSE(CONTROL!$C$23, $C$13, 100%, $E$13)</f>
        <v>5.8198999999999996</v>
      </c>
      <c r="G287" s="67">
        <f>5.8266 * CHOOSE(CONTROL!$C$23, $C$13, 100%, $E$13)</f>
        <v>5.8266</v>
      </c>
      <c r="H287" s="67">
        <f>10.3488* CHOOSE(CONTROL!$C$23, $C$13, 100%, $E$13)</f>
        <v>10.348800000000001</v>
      </c>
      <c r="I287" s="67">
        <f>10.3555 * CHOOSE(CONTROL!$C$23, $C$13, 100%, $E$13)</f>
        <v>10.355499999999999</v>
      </c>
      <c r="J287" s="67">
        <f>5.8199 * CHOOSE(CONTROL!$C$23, $C$13, 100%, $E$13)</f>
        <v>5.8198999999999996</v>
      </c>
      <c r="K287" s="67">
        <f>5.8266 * CHOOSE(CONTROL!$C$23, $C$13, 100%, $E$13)</f>
        <v>5.8266</v>
      </c>
    </row>
    <row r="288" spans="1:11" ht="15">
      <c r="A288" s="13">
        <v>49888</v>
      </c>
      <c r="B288" s="66">
        <f>4.7188 * CHOOSE(CONTROL!$C$23, $C$13, 100%, $E$13)</f>
        <v>4.7187999999999999</v>
      </c>
      <c r="C288" s="66">
        <f>4.7188 * CHOOSE(CONTROL!$C$23, $C$13, 100%, $E$13)</f>
        <v>4.7187999999999999</v>
      </c>
      <c r="D288" s="66">
        <f>4.7243 * CHOOSE(CONTROL!$C$23, $C$13, 100%, $E$13)</f>
        <v>4.7243000000000004</v>
      </c>
      <c r="E288" s="67">
        <f>5.7404 * CHOOSE(CONTROL!$C$23, $C$13, 100%, $E$13)</f>
        <v>5.7404000000000002</v>
      </c>
      <c r="F288" s="67">
        <f>5.7404 * CHOOSE(CONTROL!$C$23, $C$13, 100%, $E$13)</f>
        <v>5.7404000000000002</v>
      </c>
      <c r="G288" s="67">
        <f>5.7471 * CHOOSE(CONTROL!$C$23, $C$13, 100%, $E$13)</f>
        <v>5.7470999999999997</v>
      </c>
      <c r="H288" s="67">
        <f>10.3703* CHOOSE(CONTROL!$C$23, $C$13, 100%, $E$13)</f>
        <v>10.3703</v>
      </c>
      <c r="I288" s="67">
        <f>10.3771 * CHOOSE(CONTROL!$C$23, $C$13, 100%, $E$13)</f>
        <v>10.3771</v>
      </c>
      <c r="J288" s="67">
        <f>5.7404 * CHOOSE(CONTROL!$C$23, $C$13, 100%, $E$13)</f>
        <v>5.7404000000000002</v>
      </c>
      <c r="K288" s="67">
        <f>5.7471 * CHOOSE(CONTROL!$C$23, $C$13, 100%, $E$13)</f>
        <v>5.7470999999999997</v>
      </c>
    </row>
    <row r="289" spans="1:11" ht="15">
      <c r="A289" s="13">
        <v>49919</v>
      </c>
      <c r="B289" s="66">
        <f>4.7158 * CHOOSE(CONTROL!$C$23, $C$13, 100%, $E$13)</f>
        <v>4.7157999999999998</v>
      </c>
      <c r="C289" s="66">
        <f>4.7158 * CHOOSE(CONTROL!$C$23, $C$13, 100%, $E$13)</f>
        <v>4.7157999999999998</v>
      </c>
      <c r="D289" s="66">
        <f>4.7213 * CHOOSE(CONTROL!$C$23, $C$13, 100%, $E$13)</f>
        <v>4.7213000000000003</v>
      </c>
      <c r="E289" s="67">
        <f>5.7289 * CHOOSE(CONTROL!$C$23, $C$13, 100%, $E$13)</f>
        <v>5.7289000000000003</v>
      </c>
      <c r="F289" s="67">
        <f>5.7289 * CHOOSE(CONTROL!$C$23, $C$13, 100%, $E$13)</f>
        <v>5.7289000000000003</v>
      </c>
      <c r="G289" s="67">
        <f>5.7356 * CHOOSE(CONTROL!$C$23, $C$13, 100%, $E$13)</f>
        <v>5.7355999999999998</v>
      </c>
      <c r="H289" s="67">
        <f>10.3919* CHOOSE(CONTROL!$C$23, $C$13, 100%, $E$13)</f>
        <v>10.3919</v>
      </c>
      <c r="I289" s="67">
        <f>10.3987 * CHOOSE(CONTROL!$C$23, $C$13, 100%, $E$13)</f>
        <v>10.3987</v>
      </c>
      <c r="J289" s="67">
        <f>5.7289 * CHOOSE(CONTROL!$C$23, $C$13, 100%, $E$13)</f>
        <v>5.7289000000000003</v>
      </c>
      <c r="K289" s="67">
        <f>5.7356 * CHOOSE(CONTROL!$C$23, $C$13, 100%, $E$13)</f>
        <v>5.7355999999999998</v>
      </c>
    </row>
    <row r="290" spans="1:11" ht="15">
      <c r="A290" s="13">
        <v>49949</v>
      </c>
      <c r="B290" s="66">
        <f>4.7132 * CHOOSE(CONTROL!$C$23, $C$13, 100%, $E$13)</f>
        <v>4.7131999999999996</v>
      </c>
      <c r="C290" s="66">
        <f>4.7132 * CHOOSE(CONTROL!$C$23, $C$13, 100%, $E$13)</f>
        <v>4.7131999999999996</v>
      </c>
      <c r="D290" s="66">
        <f>4.7171 * CHOOSE(CONTROL!$C$23, $C$13, 100%, $E$13)</f>
        <v>4.7171000000000003</v>
      </c>
      <c r="E290" s="67">
        <f>5.7529 * CHOOSE(CONTROL!$C$23, $C$13, 100%, $E$13)</f>
        <v>5.7529000000000003</v>
      </c>
      <c r="F290" s="67">
        <f>5.7529 * CHOOSE(CONTROL!$C$23, $C$13, 100%, $E$13)</f>
        <v>5.7529000000000003</v>
      </c>
      <c r="G290" s="67">
        <f>5.7576 * CHOOSE(CONTROL!$C$23, $C$13, 100%, $E$13)</f>
        <v>5.7576000000000001</v>
      </c>
      <c r="H290" s="67">
        <f>10.4136* CHOOSE(CONTROL!$C$23, $C$13, 100%, $E$13)</f>
        <v>10.413600000000001</v>
      </c>
      <c r="I290" s="67">
        <f>10.4183 * CHOOSE(CONTROL!$C$23, $C$13, 100%, $E$13)</f>
        <v>10.4183</v>
      </c>
      <c r="J290" s="67">
        <f>5.7529 * CHOOSE(CONTROL!$C$23, $C$13, 100%, $E$13)</f>
        <v>5.7529000000000003</v>
      </c>
      <c r="K290" s="67">
        <f>5.7576 * CHOOSE(CONTROL!$C$23, $C$13, 100%, $E$13)</f>
        <v>5.7576000000000001</v>
      </c>
    </row>
    <row r="291" spans="1:11" ht="15">
      <c r="A291" s="13">
        <v>49980</v>
      </c>
      <c r="B291" s="66">
        <f>4.7163 * CHOOSE(CONTROL!$C$23, $C$13, 100%, $E$13)</f>
        <v>4.7163000000000004</v>
      </c>
      <c r="C291" s="66">
        <f>4.7163 * CHOOSE(CONTROL!$C$23, $C$13, 100%, $E$13)</f>
        <v>4.7163000000000004</v>
      </c>
      <c r="D291" s="66">
        <f>4.7201 * CHOOSE(CONTROL!$C$23, $C$13, 100%, $E$13)</f>
        <v>4.7201000000000004</v>
      </c>
      <c r="E291" s="67">
        <f>5.7737 * CHOOSE(CONTROL!$C$23, $C$13, 100%, $E$13)</f>
        <v>5.7736999999999998</v>
      </c>
      <c r="F291" s="67">
        <f>5.7737 * CHOOSE(CONTROL!$C$23, $C$13, 100%, $E$13)</f>
        <v>5.7736999999999998</v>
      </c>
      <c r="G291" s="67">
        <f>5.7785 * CHOOSE(CONTROL!$C$23, $C$13, 100%, $E$13)</f>
        <v>5.7785000000000002</v>
      </c>
      <c r="H291" s="67">
        <f>10.4353* CHOOSE(CONTROL!$C$23, $C$13, 100%, $E$13)</f>
        <v>10.4353</v>
      </c>
      <c r="I291" s="67">
        <f>10.44 * CHOOSE(CONTROL!$C$23, $C$13, 100%, $E$13)</f>
        <v>10.44</v>
      </c>
      <c r="J291" s="67">
        <f>5.7737 * CHOOSE(CONTROL!$C$23, $C$13, 100%, $E$13)</f>
        <v>5.7736999999999998</v>
      </c>
      <c r="K291" s="67">
        <f>5.7785 * CHOOSE(CONTROL!$C$23, $C$13, 100%, $E$13)</f>
        <v>5.7785000000000002</v>
      </c>
    </row>
    <row r="292" spans="1:11" ht="15">
      <c r="A292" s="13">
        <v>50010</v>
      </c>
      <c r="B292" s="66">
        <f>4.7163 * CHOOSE(CONTROL!$C$23, $C$13, 100%, $E$13)</f>
        <v>4.7163000000000004</v>
      </c>
      <c r="C292" s="66">
        <f>4.7163 * CHOOSE(CONTROL!$C$23, $C$13, 100%, $E$13)</f>
        <v>4.7163000000000004</v>
      </c>
      <c r="D292" s="66">
        <f>4.7201 * CHOOSE(CONTROL!$C$23, $C$13, 100%, $E$13)</f>
        <v>4.7201000000000004</v>
      </c>
      <c r="E292" s="67">
        <f>5.7269 * CHOOSE(CONTROL!$C$23, $C$13, 100%, $E$13)</f>
        <v>5.7268999999999997</v>
      </c>
      <c r="F292" s="67">
        <f>5.7269 * CHOOSE(CONTROL!$C$23, $C$13, 100%, $E$13)</f>
        <v>5.7268999999999997</v>
      </c>
      <c r="G292" s="67">
        <f>5.7317 * CHOOSE(CONTROL!$C$23, $C$13, 100%, $E$13)</f>
        <v>5.7317</v>
      </c>
      <c r="H292" s="67">
        <f>10.457* CHOOSE(CONTROL!$C$23, $C$13, 100%, $E$13)</f>
        <v>10.457000000000001</v>
      </c>
      <c r="I292" s="67">
        <f>10.4618 * CHOOSE(CONTROL!$C$23, $C$13, 100%, $E$13)</f>
        <v>10.4618</v>
      </c>
      <c r="J292" s="67">
        <f>5.7269 * CHOOSE(CONTROL!$C$23, $C$13, 100%, $E$13)</f>
        <v>5.7268999999999997</v>
      </c>
      <c r="K292" s="67">
        <f>5.7317 * CHOOSE(CONTROL!$C$23, $C$13, 100%, $E$13)</f>
        <v>5.7317</v>
      </c>
    </row>
    <row r="293" spans="1:11" ht="15">
      <c r="A293" s="13">
        <v>50041</v>
      </c>
      <c r="B293" s="66">
        <f>4.7586 * CHOOSE(CONTROL!$C$23, $C$13, 100%, $E$13)</f>
        <v>4.7586000000000004</v>
      </c>
      <c r="C293" s="66">
        <f>4.7586 * CHOOSE(CONTROL!$C$23, $C$13, 100%, $E$13)</f>
        <v>4.7586000000000004</v>
      </c>
      <c r="D293" s="66">
        <f>4.7624 * CHOOSE(CONTROL!$C$23, $C$13, 100%, $E$13)</f>
        <v>4.7624000000000004</v>
      </c>
      <c r="E293" s="67">
        <f>5.8119 * CHOOSE(CONTROL!$C$23, $C$13, 100%, $E$13)</f>
        <v>5.8118999999999996</v>
      </c>
      <c r="F293" s="67">
        <f>5.8119 * CHOOSE(CONTROL!$C$23, $C$13, 100%, $E$13)</f>
        <v>5.8118999999999996</v>
      </c>
      <c r="G293" s="67">
        <f>5.8166 * CHOOSE(CONTROL!$C$23, $C$13, 100%, $E$13)</f>
        <v>5.8166000000000002</v>
      </c>
      <c r="H293" s="67">
        <f>10.4788* CHOOSE(CONTROL!$C$23, $C$13, 100%, $E$13)</f>
        <v>10.4788</v>
      </c>
      <c r="I293" s="67">
        <f>10.4836 * CHOOSE(CONTROL!$C$23, $C$13, 100%, $E$13)</f>
        <v>10.483599999999999</v>
      </c>
      <c r="J293" s="67">
        <f>5.8119 * CHOOSE(CONTROL!$C$23, $C$13, 100%, $E$13)</f>
        <v>5.8118999999999996</v>
      </c>
      <c r="K293" s="67">
        <f>5.8166 * CHOOSE(CONTROL!$C$23, $C$13, 100%, $E$13)</f>
        <v>5.8166000000000002</v>
      </c>
    </row>
    <row r="294" spans="1:11" ht="15">
      <c r="A294" s="13">
        <v>50072</v>
      </c>
      <c r="B294" s="66">
        <f>4.7555 * CHOOSE(CONTROL!$C$23, $C$13, 100%, $E$13)</f>
        <v>4.7554999999999996</v>
      </c>
      <c r="C294" s="66">
        <f>4.7555 * CHOOSE(CONTROL!$C$23, $C$13, 100%, $E$13)</f>
        <v>4.7554999999999996</v>
      </c>
      <c r="D294" s="66">
        <f>4.7594 * CHOOSE(CONTROL!$C$23, $C$13, 100%, $E$13)</f>
        <v>4.7594000000000003</v>
      </c>
      <c r="E294" s="67">
        <f>5.719 * CHOOSE(CONTROL!$C$23, $C$13, 100%, $E$13)</f>
        <v>5.7190000000000003</v>
      </c>
      <c r="F294" s="67">
        <f>5.719 * CHOOSE(CONTROL!$C$23, $C$13, 100%, $E$13)</f>
        <v>5.7190000000000003</v>
      </c>
      <c r="G294" s="67">
        <f>5.7238 * CHOOSE(CONTROL!$C$23, $C$13, 100%, $E$13)</f>
        <v>5.7237999999999998</v>
      </c>
      <c r="H294" s="67">
        <f>10.5006* CHOOSE(CONTROL!$C$23, $C$13, 100%, $E$13)</f>
        <v>10.5006</v>
      </c>
      <c r="I294" s="67">
        <f>10.5054 * CHOOSE(CONTROL!$C$23, $C$13, 100%, $E$13)</f>
        <v>10.5054</v>
      </c>
      <c r="J294" s="67">
        <f>5.719 * CHOOSE(CONTROL!$C$23, $C$13, 100%, $E$13)</f>
        <v>5.7190000000000003</v>
      </c>
      <c r="K294" s="67">
        <f>5.7238 * CHOOSE(CONTROL!$C$23, $C$13, 100%, $E$13)</f>
        <v>5.7237999999999998</v>
      </c>
    </row>
    <row r="295" spans="1:11" ht="15">
      <c r="A295" s="13">
        <v>50100</v>
      </c>
      <c r="B295" s="66">
        <f>4.7525 * CHOOSE(CONTROL!$C$23, $C$13, 100%, $E$13)</f>
        <v>4.7525000000000004</v>
      </c>
      <c r="C295" s="66">
        <f>4.7525 * CHOOSE(CONTROL!$C$23, $C$13, 100%, $E$13)</f>
        <v>4.7525000000000004</v>
      </c>
      <c r="D295" s="66">
        <f>4.7563 * CHOOSE(CONTROL!$C$23, $C$13, 100%, $E$13)</f>
        <v>4.7563000000000004</v>
      </c>
      <c r="E295" s="67">
        <f>5.7884 * CHOOSE(CONTROL!$C$23, $C$13, 100%, $E$13)</f>
        <v>5.7884000000000002</v>
      </c>
      <c r="F295" s="67">
        <f>5.7884 * CHOOSE(CONTROL!$C$23, $C$13, 100%, $E$13)</f>
        <v>5.7884000000000002</v>
      </c>
      <c r="G295" s="67">
        <f>5.7932 * CHOOSE(CONTROL!$C$23, $C$13, 100%, $E$13)</f>
        <v>5.7931999999999997</v>
      </c>
      <c r="H295" s="67">
        <f>10.5225* CHOOSE(CONTROL!$C$23, $C$13, 100%, $E$13)</f>
        <v>10.522500000000001</v>
      </c>
      <c r="I295" s="67">
        <f>10.5273 * CHOOSE(CONTROL!$C$23, $C$13, 100%, $E$13)</f>
        <v>10.5273</v>
      </c>
      <c r="J295" s="67">
        <f>5.7884 * CHOOSE(CONTROL!$C$23, $C$13, 100%, $E$13)</f>
        <v>5.7884000000000002</v>
      </c>
      <c r="K295" s="67">
        <f>5.7932 * CHOOSE(CONTROL!$C$23, $C$13, 100%, $E$13)</f>
        <v>5.7931999999999997</v>
      </c>
    </row>
    <row r="296" spans="1:11" ht="15">
      <c r="A296" s="13">
        <v>50131</v>
      </c>
      <c r="B296" s="66">
        <f>4.7508 * CHOOSE(CONTROL!$C$23, $C$13, 100%, $E$13)</f>
        <v>4.7507999999999999</v>
      </c>
      <c r="C296" s="66">
        <f>4.7508 * CHOOSE(CONTROL!$C$23, $C$13, 100%, $E$13)</f>
        <v>4.7507999999999999</v>
      </c>
      <c r="D296" s="66">
        <f>4.7546 * CHOOSE(CONTROL!$C$23, $C$13, 100%, $E$13)</f>
        <v>4.7545999999999999</v>
      </c>
      <c r="E296" s="67">
        <f>5.861 * CHOOSE(CONTROL!$C$23, $C$13, 100%, $E$13)</f>
        <v>5.8609999999999998</v>
      </c>
      <c r="F296" s="67">
        <f>5.861 * CHOOSE(CONTROL!$C$23, $C$13, 100%, $E$13)</f>
        <v>5.8609999999999998</v>
      </c>
      <c r="G296" s="67">
        <f>5.8658 * CHOOSE(CONTROL!$C$23, $C$13, 100%, $E$13)</f>
        <v>5.8658000000000001</v>
      </c>
      <c r="H296" s="67">
        <f>10.5444* CHOOSE(CONTROL!$C$23, $C$13, 100%, $E$13)</f>
        <v>10.5444</v>
      </c>
      <c r="I296" s="67">
        <f>10.5492 * CHOOSE(CONTROL!$C$23, $C$13, 100%, $E$13)</f>
        <v>10.549200000000001</v>
      </c>
      <c r="J296" s="67">
        <f>5.861 * CHOOSE(CONTROL!$C$23, $C$13, 100%, $E$13)</f>
        <v>5.8609999999999998</v>
      </c>
      <c r="K296" s="67">
        <f>5.8658 * CHOOSE(CONTROL!$C$23, $C$13, 100%, $E$13)</f>
        <v>5.8658000000000001</v>
      </c>
    </row>
    <row r="297" spans="1:11" ht="15">
      <c r="A297" s="13">
        <v>50161</v>
      </c>
      <c r="B297" s="66">
        <f>4.7508 * CHOOSE(CONTROL!$C$23, $C$13, 100%, $E$13)</f>
        <v>4.7507999999999999</v>
      </c>
      <c r="C297" s="66">
        <f>4.7508 * CHOOSE(CONTROL!$C$23, $C$13, 100%, $E$13)</f>
        <v>4.7507999999999999</v>
      </c>
      <c r="D297" s="66">
        <f>4.7563 * CHOOSE(CONTROL!$C$23, $C$13, 100%, $E$13)</f>
        <v>4.7563000000000004</v>
      </c>
      <c r="E297" s="67">
        <f>5.8898 * CHOOSE(CONTROL!$C$23, $C$13, 100%, $E$13)</f>
        <v>5.8898000000000001</v>
      </c>
      <c r="F297" s="67">
        <f>5.8898 * CHOOSE(CONTROL!$C$23, $C$13, 100%, $E$13)</f>
        <v>5.8898000000000001</v>
      </c>
      <c r="G297" s="67">
        <f>5.8966 * CHOOSE(CONTROL!$C$23, $C$13, 100%, $E$13)</f>
        <v>5.8966000000000003</v>
      </c>
      <c r="H297" s="67">
        <f>10.5664* CHOOSE(CONTROL!$C$23, $C$13, 100%, $E$13)</f>
        <v>10.5664</v>
      </c>
      <c r="I297" s="67">
        <f>10.5731 * CHOOSE(CONTROL!$C$23, $C$13, 100%, $E$13)</f>
        <v>10.5731</v>
      </c>
      <c r="J297" s="67">
        <f>5.8898 * CHOOSE(CONTROL!$C$23, $C$13, 100%, $E$13)</f>
        <v>5.8898000000000001</v>
      </c>
      <c r="K297" s="67">
        <f>5.8966 * CHOOSE(CONTROL!$C$23, $C$13, 100%, $E$13)</f>
        <v>5.8966000000000003</v>
      </c>
    </row>
    <row r="298" spans="1:11" ht="15">
      <c r="A298" s="13">
        <v>50192</v>
      </c>
      <c r="B298" s="66">
        <f>4.7569 * CHOOSE(CONTROL!$C$23, $C$13, 100%, $E$13)</f>
        <v>4.7568999999999999</v>
      </c>
      <c r="C298" s="66">
        <f>4.7569 * CHOOSE(CONTROL!$C$23, $C$13, 100%, $E$13)</f>
        <v>4.7568999999999999</v>
      </c>
      <c r="D298" s="66">
        <f>4.7624 * CHOOSE(CONTROL!$C$23, $C$13, 100%, $E$13)</f>
        <v>4.7624000000000004</v>
      </c>
      <c r="E298" s="67">
        <f>5.8653 * CHOOSE(CONTROL!$C$23, $C$13, 100%, $E$13)</f>
        <v>5.8653000000000004</v>
      </c>
      <c r="F298" s="67">
        <f>5.8653 * CHOOSE(CONTROL!$C$23, $C$13, 100%, $E$13)</f>
        <v>5.8653000000000004</v>
      </c>
      <c r="G298" s="67">
        <f>5.872 * CHOOSE(CONTROL!$C$23, $C$13, 100%, $E$13)</f>
        <v>5.8719999999999999</v>
      </c>
      <c r="H298" s="67">
        <f>10.5884* CHOOSE(CONTROL!$C$23, $C$13, 100%, $E$13)</f>
        <v>10.5884</v>
      </c>
      <c r="I298" s="67">
        <f>10.5951 * CHOOSE(CONTROL!$C$23, $C$13, 100%, $E$13)</f>
        <v>10.5951</v>
      </c>
      <c r="J298" s="67">
        <f>5.8653 * CHOOSE(CONTROL!$C$23, $C$13, 100%, $E$13)</f>
        <v>5.8653000000000004</v>
      </c>
      <c r="K298" s="67">
        <f>5.872 * CHOOSE(CONTROL!$C$23, $C$13, 100%, $E$13)</f>
        <v>5.8719999999999999</v>
      </c>
    </row>
    <row r="299" spans="1:11" ht="15">
      <c r="A299" s="13">
        <v>50222</v>
      </c>
      <c r="B299" s="66">
        <f>4.836 * CHOOSE(CONTROL!$C$23, $C$13, 100%, $E$13)</f>
        <v>4.8360000000000003</v>
      </c>
      <c r="C299" s="66">
        <f>4.836 * CHOOSE(CONTROL!$C$23, $C$13, 100%, $E$13)</f>
        <v>4.8360000000000003</v>
      </c>
      <c r="D299" s="66">
        <f>4.8415 * CHOOSE(CONTROL!$C$23, $C$13, 100%, $E$13)</f>
        <v>4.8414999999999999</v>
      </c>
      <c r="E299" s="67">
        <f>5.9773 * CHOOSE(CONTROL!$C$23, $C$13, 100%, $E$13)</f>
        <v>5.9772999999999996</v>
      </c>
      <c r="F299" s="67">
        <f>5.9773 * CHOOSE(CONTROL!$C$23, $C$13, 100%, $E$13)</f>
        <v>5.9772999999999996</v>
      </c>
      <c r="G299" s="67">
        <f>5.984 * CHOOSE(CONTROL!$C$23, $C$13, 100%, $E$13)</f>
        <v>5.984</v>
      </c>
      <c r="H299" s="67">
        <f>10.6105* CHOOSE(CONTROL!$C$23, $C$13, 100%, $E$13)</f>
        <v>10.6105</v>
      </c>
      <c r="I299" s="67">
        <f>10.6172 * CHOOSE(CONTROL!$C$23, $C$13, 100%, $E$13)</f>
        <v>10.6172</v>
      </c>
      <c r="J299" s="67">
        <f>5.9773 * CHOOSE(CONTROL!$C$23, $C$13, 100%, $E$13)</f>
        <v>5.9772999999999996</v>
      </c>
      <c r="K299" s="67">
        <f>5.984 * CHOOSE(CONTROL!$C$23, $C$13, 100%, $E$13)</f>
        <v>5.984</v>
      </c>
    </row>
    <row r="300" spans="1:11" ht="15">
      <c r="A300" s="13">
        <v>50253</v>
      </c>
      <c r="B300" s="66">
        <f>4.8427 * CHOOSE(CONTROL!$C$23, $C$13, 100%, $E$13)</f>
        <v>4.8426999999999998</v>
      </c>
      <c r="C300" s="66">
        <f>4.8427 * CHOOSE(CONTROL!$C$23, $C$13, 100%, $E$13)</f>
        <v>4.8426999999999998</v>
      </c>
      <c r="D300" s="66">
        <f>4.8482 * CHOOSE(CONTROL!$C$23, $C$13, 100%, $E$13)</f>
        <v>4.8482000000000003</v>
      </c>
      <c r="E300" s="67">
        <f>5.8955 * CHOOSE(CONTROL!$C$23, $C$13, 100%, $E$13)</f>
        <v>5.8955000000000002</v>
      </c>
      <c r="F300" s="67">
        <f>5.8955 * CHOOSE(CONTROL!$C$23, $C$13, 100%, $E$13)</f>
        <v>5.8955000000000002</v>
      </c>
      <c r="G300" s="67">
        <f>5.9022 * CHOOSE(CONTROL!$C$23, $C$13, 100%, $E$13)</f>
        <v>5.9021999999999997</v>
      </c>
      <c r="H300" s="67">
        <f>10.6326* CHOOSE(CONTROL!$C$23, $C$13, 100%, $E$13)</f>
        <v>10.6326</v>
      </c>
      <c r="I300" s="67">
        <f>10.6393 * CHOOSE(CONTROL!$C$23, $C$13, 100%, $E$13)</f>
        <v>10.6393</v>
      </c>
      <c r="J300" s="67">
        <f>5.8955 * CHOOSE(CONTROL!$C$23, $C$13, 100%, $E$13)</f>
        <v>5.8955000000000002</v>
      </c>
      <c r="K300" s="67">
        <f>5.9022 * CHOOSE(CONTROL!$C$23, $C$13, 100%, $E$13)</f>
        <v>5.9021999999999997</v>
      </c>
    </row>
    <row r="301" spans="1:11" ht="15">
      <c r="A301" s="13">
        <v>50284</v>
      </c>
      <c r="B301" s="66">
        <f>4.8396 * CHOOSE(CONTROL!$C$23, $C$13, 100%, $E$13)</f>
        <v>4.8395999999999999</v>
      </c>
      <c r="C301" s="66">
        <f>4.8396 * CHOOSE(CONTROL!$C$23, $C$13, 100%, $E$13)</f>
        <v>4.8395999999999999</v>
      </c>
      <c r="D301" s="66">
        <f>4.8451 * CHOOSE(CONTROL!$C$23, $C$13, 100%, $E$13)</f>
        <v>4.8451000000000004</v>
      </c>
      <c r="E301" s="67">
        <f>5.8837 * CHOOSE(CONTROL!$C$23, $C$13, 100%, $E$13)</f>
        <v>5.8837000000000002</v>
      </c>
      <c r="F301" s="67">
        <f>5.8837 * CHOOSE(CONTROL!$C$23, $C$13, 100%, $E$13)</f>
        <v>5.8837000000000002</v>
      </c>
      <c r="G301" s="67">
        <f>5.8905 * CHOOSE(CONTROL!$C$23, $C$13, 100%, $E$13)</f>
        <v>5.8905000000000003</v>
      </c>
      <c r="H301" s="67">
        <f>10.6547* CHOOSE(CONTROL!$C$23, $C$13, 100%, $E$13)</f>
        <v>10.6547</v>
      </c>
      <c r="I301" s="67">
        <f>10.6615 * CHOOSE(CONTROL!$C$23, $C$13, 100%, $E$13)</f>
        <v>10.6615</v>
      </c>
      <c r="J301" s="67">
        <f>5.8837 * CHOOSE(CONTROL!$C$23, $C$13, 100%, $E$13)</f>
        <v>5.8837000000000002</v>
      </c>
      <c r="K301" s="67">
        <f>5.8905 * CHOOSE(CONTROL!$C$23, $C$13, 100%, $E$13)</f>
        <v>5.8905000000000003</v>
      </c>
    </row>
    <row r="302" spans="1:11" ht="15">
      <c r="A302" s="13">
        <v>50314</v>
      </c>
      <c r="B302" s="66">
        <f>4.8375 * CHOOSE(CONTROL!$C$23, $C$13, 100%, $E$13)</f>
        <v>4.8375000000000004</v>
      </c>
      <c r="C302" s="66">
        <f>4.8375 * CHOOSE(CONTROL!$C$23, $C$13, 100%, $E$13)</f>
        <v>4.8375000000000004</v>
      </c>
      <c r="D302" s="66">
        <f>4.8413 * CHOOSE(CONTROL!$C$23, $C$13, 100%, $E$13)</f>
        <v>4.8413000000000004</v>
      </c>
      <c r="E302" s="67">
        <f>5.9087 * CHOOSE(CONTROL!$C$23, $C$13, 100%, $E$13)</f>
        <v>5.9086999999999996</v>
      </c>
      <c r="F302" s="67">
        <f>5.9087 * CHOOSE(CONTROL!$C$23, $C$13, 100%, $E$13)</f>
        <v>5.9086999999999996</v>
      </c>
      <c r="G302" s="67">
        <f>5.9135 * CHOOSE(CONTROL!$C$23, $C$13, 100%, $E$13)</f>
        <v>5.9135</v>
      </c>
      <c r="H302" s="67">
        <f>10.6769* CHOOSE(CONTROL!$C$23, $C$13, 100%, $E$13)</f>
        <v>10.6769</v>
      </c>
      <c r="I302" s="67">
        <f>10.6817 * CHOOSE(CONTROL!$C$23, $C$13, 100%, $E$13)</f>
        <v>10.681699999999999</v>
      </c>
      <c r="J302" s="67">
        <f>5.9087 * CHOOSE(CONTROL!$C$23, $C$13, 100%, $E$13)</f>
        <v>5.9086999999999996</v>
      </c>
      <c r="K302" s="67">
        <f>5.9135 * CHOOSE(CONTROL!$C$23, $C$13, 100%, $E$13)</f>
        <v>5.9135</v>
      </c>
    </row>
    <row r="303" spans="1:11" ht="15">
      <c r="A303" s="13">
        <v>50345</v>
      </c>
      <c r="B303" s="66">
        <f>4.8405 * CHOOSE(CONTROL!$C$23, $C$13, 100%, $E$13)</f>
        <v>4.8404999999999996</v>
      </c>
      <c r="C303" s="66">
        <f>4.8405 * CHOOSE(CONTROL!$C$23, $C$13, 100%, $E$13)</f>
        <v>4.8404999999999996</v>
      </c>
      <c r="D303" s="66">
        <f>4.8444 * CHOOSE(CONTROL!$C$23, $C$13, 100%, $E$13)</f>
        <v>4.8444000000000003</v>
      </c>
      <c r="E303" s="67">
        <f>5.9301 * CHOOSE(CONTROL!$C$23, $C$13, 100%, $E$13)</f>
        <v>5.9301000000000004</v>
      </c>
      <c r="F303" s="67">
        <f>5.9301 * CHOOSE(CONTROL!$C$23, $C$13, 100%, $E$13)</f>
        <v>5.9301000000000004</v>
      </c>
      <c r="G303" s="67">
        <f>5.9348 * CHOOSE(CONTROL!$C$23, $C$13, 100%, $E$13)</f>
        <v>5.9348000000000001</v>
      </c>
      <c r="H303" s="67">
        <f>10.6992* CHOOSE(CONTROL!$C$23, $C$13, 100%, $E$13)</f>
        <v>10.699199999999999</v>
      </c>
      <c r="I303" s="67">
        <f>10.7039 * CHOOSE(CONTROL!$C$23, $C$13, 100%, $E$13)</f>
        <v>10.703900000000001</v>
      </c>
      <c r="J303" s="67">
        <f>5.9301 * CHOOSE(CONTROL!$C$23, $C$13, 100%, $E$13)</f>
        <v>5.9301000000000004</v>
      </c>
      <c r="K303" s="67">
        <f>5.9348 * CHOOSE(CONTROL!$C$23, $C$13, 100%, $E$13)</f>
        <v>5.9348000000000001</v>
      </c>
    </row>
    <row r="304" spans="1:11" ht="15">
      <c r="A304" s="13">
        <v>50375</v>
      </c>
      <c r="B304" s="66">
        <f>4.8405 * CHOOSE(CONTROL!$C$23, $C$13, 100%, $E$13)</f>
        <v>4.8404999999999996</v>
      </c>
      <c r="C304" s="66">
        <f>4.8405 * CHOOSE(CONTROL!$C$23, $C$13, 100%, $E$13)</f>
        <v>4.8404999999999996</v>
      </c>
      <c r="D304" s="66">
        <f>4.8444 * CHOOSE(CONTROL!$C$23, $C$13, 100%, $E$13)</f>
        <v>4.8444000000000003</v>
      </c>
      <c r="E304" s="67">
        <f>5.8821 * CHOOSE(CONTROL!$C$23, $C$13, 100%, $E$13)</f>
        <v>5.8821000000000003</v>
      </c>
      <c r="F304" s="67">
        <f>5.8821 * CHOOSE(CONTROL!$C$23, $C$13, 100%, $E$13)</f>
        <v>5.8821000000000003</v>
      </c>
      <c r="G304" s="67">
        <f>5.8868 * CHOOSE(CONTROL!$C$23, $C$13, 100%, $E$13)</f>
        <v>5.8868</v>
      </c>
      <c r="H304" s="67">
        <f>10.7215* CHOOSE(CONTROL!$C$23, $C$13, 100%, $E$13)</f>
        <v>10.721500000000001</v>
      </c>
      <c r="I304" s="67">
        <f>10.7262 * CHOOSE(CONTROL!$C$23, $C$13, 100%, $E$13)</f>
        <v>10.7262</v>
      </c>
      <c r="J304" s="67">
        <f>5.8821 * CHOOSE(CONTROL!$C$23, $C$13, 100%, $E$13)</f>
        <v>5.8821000000000003</v>
      </c>
      <c r="K304" s="67">
        <f>5.8868 * CHOOSE(CONTROL!$C$23, $C$13, 100%, $E$13)</f>
        <v>5.8868</v>
      </c>
    </row>
    <row r="305" spans="1:11" ht="15">
      <c r="A305" s="13">
        <v>50406</v>
      </c>
      <c r="B305" s="66">
        <f>4.8843 * CHOOSE(CONTROL!$C$23, $C$13, 100%, $E$13)</f>
        <v>4.8842999999999996</v>
      </c>
      <c r="C305" s="66">
        <f>4.8843 * CHOOSE(CONTROL!$C$23, $C$13, 100%, $E$13)</f>
        <v>4.8842999999999996</v>
      </c>
      <c r="D305" s="66">
        <f>4.8882 * CHOOSE(CONTROL!$C$23, $C$13, 100%, $E$13)</f>
        <v>4.8882000000000003</v>
      </c>
      <c r="E305" s="67">
        <f>5.9668 * CHOOSE(CONTROL!$C$23, $C$13, 100%, $E$13)</f>
        <v>5.9668000000000001</v>
      </c>
      <c r="F305" s="67">
        <f>5.9668 * CHOOSE(CONTROL!$C$23, $C$13, 100%, $E$13)</f>
        <v>5.9668000000000001</v>
      </c>
      <c r="G305" s="67">
        <f>5.9716 * CHOOSE(CONTROL!$C$23, $C$13, 100%, $E$13)</f>
        <v>5.9715999999999996</v>
      </c>
      <c r="H305" s="67">
        <f>10.7438* CHOOSE(CONTROL!$C$23, $C$13, 100%, $E$13)</f>
        <v>10.7438</v>
      </c>
      <c r="I305" s="67">
        <f>10.7486 * CHOOSE(CONTROL!$C$23, $C$13, 100%, $E$13)</f>
        <v>10.7486</v>
      </c>
      <c r="J305" s="67">
        <f>5.9668 * CHOOSE(CONTROL!$C$23, $C$13, 100%, $E$13)</f>
        <v>5.9668000000000001</v>
      </c>
      <c r="K305" s="67">
        <f>5.9716 * CHOOSE(CONTROL!$C$23, $C$13, 100%, $E$13)</f>
        <v>5.9715999999999996</v>
      </c>
    </row>
    <row r="306" spans="1:11" ht="15">
      <c r="A306" s="13">
        <v>50437</v>
      </c>
      <c r="B306" s="66">
        <f>4.8813 * CHOOSE(CONTROL!$C$23, $C$13, 100%, $E$13)</f>
        <v>4.8813000000000004</v>
      </c>
      <c r="C306" s="66">
        <f>4.8813 * CHOOSE(CONTROL!$C$23, $C$13, 100%, $E$13)</f>
        <v>4.8813000000000004</v>
      </c>
      <c r="D306" s="66">
        <f>4.8852 * CHOOSE(CONTROL!$C$23, $C$13, 100%, $E$13)</f>
        <v>4.8852000000000002</v>
      </c>
      <c r="E306" s="67">
        <f>5.8715 * CHOOSE(CONTROL!$C$23, $C$13, 100%, $E$13)</f>
        <v>5.8715000000000002</v>
      </c>
      <c r="F306" s="67">
        <f>5.8715 * CHOOSE(CONTROL!$C$23, $C$13, 100%, $E$13)</f>
        <v>5.8715000000000002</v>
      </c>
      <c r="G306" s="67">
        <f>5.8763 * CHOOSE(CONTROL!$C$23, $C$13, 100%, $E$13)</f>
        <v>5.8762999999999996</v>
      </c>
      <c r="H306" s="67">
        <f>10.7662* CHOOSE(CONTROL!$C$23, $C$13, 100%, $E$13)</f>
        <v>10.7662</v>
      </c>
      <c r="I306" s="67">
        <f>10.7709 * CHOOSE(CONTROL!$C$23, $C$13, 100%, $E$13)</f>
        <v>10.770899999999999</v>
      </c>
      <c r="J306" s="67">
        <f>5.8715 * CHOOSE(CONTROL!$C$23, $C$13, 100%, $E$13)</f>
        <v>5.8715000000000002</v>
      </c>
      <c r="K306" s="67">
        <f>5.8763 * CHOOSE(CONTROL!$C$23, $C$13, 100%, $E$13)</f>
        <v>5.8762999999999996</v>
      </c>
    </row>
    <row r="307" spans="1:11" ht="15">
      <c r="A307" s="13">
        <v>50465</v>
      </c>
      <c r="B307" s="66">
        <f>4.8783 * CHOOSE(CONTROL!$C$23, $C$13, 100%, $E$13)</f>
        <v>4.8783000000000003</v>
      </c>
      <c r="C307" s="66">
        <f>4.8783 * CHOOSE(CONTROL!$C$23, $C$13, 100%, $E$13)</f>
        <v>4.8783000000000003</v>
      </c>
      <c r="D307" s="66">
        <f>4.8821 * CHOOSE(CONTROL!$C$23, $C$13, 100%, $E$13)</f>
        <v>4.8821000000000003</v>
      </c>
      <c r="E307" s="67">
        <f>5.9428 * CHOOSE(CONTROL!$C$23, $C$13, 100%, $E$13)</f>
        <v>5.9428000000000001</v>
      </c>
      <c r="F307" s="67">
        <f>5.9428 * CHOOSE(CONTROL!$C$23, $C$13, 100%, $E$13)</f>
        <v>5.9428000000000001</v>
      </c>
      <c r="G307" s="67">
        <f>5.9476 * CHOOSE(CONTROL!$C$23, $C$13, 100%, $E$13)</f>
        <v>5.9476000000000004</v>
      </c>
      <c r="H307" s="67">
        <f>10.7886* CHOOSE(CONTROL!$C$23, $C$13, 100%, $E$13)</f>
        <v>10.788600000000001</v>
      </c>
      <c r="I307" s="67">
        <f>10.7934 * CHOOSE(CONTROL!$C$23, $C$13, 100%, $E$13)</f>
        <v>10.7934</v>
      </c>
      <c r="J307" s="67">
        <f>5.9428 * CHOOSE(CONTROL!$C$23, $C$13, 100%, $E$13)</f>
        <v>5.9428000000000001</v>
      </c>
      <c r="K307" s="67">
        <f>5.9476 * CHOOSE(CONTROL!$C$23, $C$13, 100%, $E$13)</f>
        <v>5.9476000000000004</v>
      </c>
    </row>
    <row r="308" spans="1:11" ht="15">
      <c r="A308" s="13">
        <v>50496</v>
      </c>
      <c r="B308" s="66">
        <f>4.8767 * CHOOSE(CONTROL!$C$23, $C$13, 100%, $E$13)</f>
        <v>4.8766999999999996</v>
      </c>
      <c r="C308" s="66">
        <f>4.8767 * CHOOSE(CONTROL!$C$23, $C$13, 100%, $E$13)</f>
        <v>4.8766999999999996</v>
      </c>
      <c r="D308" s="66">
        <f>4.8805 * CHOOSE(CONTROL!$C$23, $C$13, 100%, $E$13)</f>
        <v>4.8804999999999996</v>
      </c>
      <c r="E308" s="67">
        <f>6.0175 * CHOOSE(CONTROL!$C$23, $C$13, 100%, $E$13)</f>
        <v>6.0175000000000001</v>
      </c>
      <c r="F308" s="67">
        <f>6.0175 * CHOOSE(CONTROL!$C$23, $C$13, 100%, $E$13)</f>
        <v>6.0175000000000001</v>
      </c>
      <c r="G308" s="67">
        <f>6.0222 * CHOOSE(CONTROL!$C$23, $C$13, 100%, $E$13)</f>
        <v>6.0221999999999998</v>
      </c>
      <c r="H308" s="67">
        <f>10.8111* CHOOSE(CONTROL!$C$23, $C$13, 100%, $E$13)</f>
        <v>10.8111</v>
      </c>
      <c r="I308" s="67">
        <f>10.8159 * CHOOSE(CONTROL!$C$23, $C$13, 100%, $E$13)</f>
        <v>10.815899999999999</v>
      </c>
      <c r="J308" s="67">
        <f>6.0175 * CHOOSE(CONTROL!$C$23, $C$13, 100%, $E$13)</f>
        <v>6.0175000000000001</v>
      </c>
      <c r="K308" s="67">
        <f>6.0222 * CHOOSE(CONTROL!$C$23, $C$13, 100%, $E$13)</f>
        <v>6.0221999999999998</v>
      </c>
    </row>
    <row r="309" spans="1:11" ht="15">
      <c r="A309" s="13">
        <v>50526</v>
      </c>
      <c r="B309" s="66">
        <f>4.8767 * CHOOSE(CONTROL!$C$23, $C$13, 100%, $E$13)</f>
        <v>4.8766999999999996</v>
      </c>
      <c r="C309" s="66">
        <f>4.8767 * CHOOSE(CONTROL!$C$23, $C$13, 100%, $E$13)</f>
        <v>4.8766999999999996</v>
      </c>
      <c r="D309" s="66">
        <f>4.8822 * CHOOSE(CONTROL!$C$23, $C$13, 100%, $E$13)</f>
        <v>4.8822000000000001</v>
      </c>
      <c r="E309" s="67">
        <f>6.047 * CHOOSE(CONTROL!$C$23, $C$13, 100%, $E$13)</f>
        <v>6.0469999999999997</v>
      </c>
      <c r="F309" s="67">
        <f>6.047 * CHOOSE(CONTROL!$C$23, $C$13, 100%, $E$13)</f>
        <v>6.0469999999999997</v>
      </c>
      <c r="G309" s="67">
        <f>6.0538 * CHOOSE(CONTROL!$C$23, $C$13, 100%, $E$13)</f>
        <v>6.0537999999999998</v>
      </c>
      <c r="H309" s="67">
        <f>10.8336* CHOOSE(CONTROL!$C$23, $C$13, 100%, $E$13)</f>
        <v>10.833600000000001</v>
      </c>
      <c r="I309" s="67">
        <f>10.8403 * CHOOSE(CONTROL!$C$23, $C$13, 100%, $E$13)</f>
        <v>10.840299999999999</v>
      </c>
      <c r="J309" s="67">
        <f>6.047 * CHOOSE(CONTROL!$C$23, $C$13, 100%, $E$13)</f>
        <v>6.0469999999999997</v>
      </c>
      <c r="K309" s="67">
        <f>6.0538 * CHOOSE(CONTROL!$C$23, $C$13, 100%, $E$13)</f>
        <v>6.0537999999999998</v>
      </c>
    </row>
    <row r="310" spans="1:11" ht="15">
      <c r="A310" s="13">
        <v>50557</v>
      </c>
      <c r="B310" s="66">
        <f>4.8827 * CHOOSE(CONTROL!$C$23, $C$13, 100%, $E$13)</f>
        <v>4.8826999999999998</v>
      </c>
      <c r="C310" s="66">
        <f>4.8827 * CHOOSE(CONTROL!$C$23, $C$13, 100%, $E$13)</f>
        <v>4.8826999999999998</v>
      </c>
      <c r="D310" s="66">
        <f>4.8883 * CHOOSE(CONTROL!$C$23, $C$13, 100%, $E$13)</f>
        <v>4.8883000000000001</v>
      </c>
      <c r="E310" s="67">
        <f>6.0217 * CHOOSE(CONTROL!$C$23, $C$13, 100%, $E$13)</f>
        <v>6.0217000000000001</v>
      </c>
      <c r="F310" s="67">
        <f>6.0217 * CHOOSE(CONTROL!$C$23, $C$13, 100%, $E$13)</f>
        <v>6.0217000000000001</v>
      </c>
      <c r="G310" s="67">
        <f>6.0284 * CHOOSE(CONTROL!$C$23, $C$13, 100%, $E$13)</f>
        <v>6.0284000000000004</v>
      </c>
      <c r="H310" s="67">
        <f>10.8562* CHOOSE(CONTROL!$C$23, $C$13, 100%, $E$13)</f>
        <v>10.856199999999999</v>
      </c>
      <c r="I310" s="67">
        <f>10.8629 * CHOOSE(CONTROL!$C$23, $C$13, 100%, $E$13)</f>
        <v>10.8629</v>
      </c>
      <c r="J310" s="67">
        <f>6.0217 * CHOOSE(CONTROL!$C$23, $C$13, 100%, $E$13)</f>
        <v>6.0217000000000001</v>
      </c>
      <c r="K310" s="67">
        <f>6.0284 * CHOOSE(CONTROL!$C$23, $C$13, 100%, $E$13)</f>
        <v>6.0284000000000004</v>
      </c>
    </row>
    <row r="311" spans="1:11" ht="15">
      <c r="A311" s="13">
        <v>50587</v>
      </c>
      <c r="B311" s="66">
        <f>4.9646 * CHOOSE(CONTROL!$C$23, $C$13, 100%, $E$13)</f>
        <v>4.9645999999999999</v>
      </c>
      <c r="C311" s="66">
        <f>4.9646 * CHOOSE(CONTROL!$C$23, $C$13, 100%, $E$13)</f>
        <v>4.9645999999999999</v>
      </c>
      <c r="D311" s="66">
        <f>4.9702 * CHOOSE(CONTROL!$C$23, $C$13, 100%, $E$13)</f>
        <v>4.9702000000000002</v>
      </c>
      <c r="E311" s="67">
        <f>6.1322 * CHOOSE(CONTROL!$C$23, $C$13, 100%, $E$13)</f>
        <v>6.1322000000000001</v>
      </c>
      <c r="F311" s="67">
        <f>6.1322 * CHOOSE(CONTROL!$C$23, $C$13, 100%, $E$13)</f>
        <v>6.1322000000000001</v>
      </c>
      <c r="G311" s="67">
        <f>6.1389 * CHOOSE(CONTROL!$C$23, $C$13, 100%, $E$13)</f>
        <v>6.1388999999999996</v>
      </c>
      <c r="H311" s="67">
        <f>10.8788* CHOOSE(CONTROL!$C$23, $C$13, 100%, $E$13)</f>
        <v>10.8788</v>
      </c>
      <c r="I311" s="67">
        <f>10.8855 * CHOOSE(CONTROL!$C$23, $C$13, 100%, $E$13)</f>
        <v>10.8855</v>
      </c>
      <c r="J311" s="67">
        <f>6.1322 * CHOOSE(CONTROL!$C$23, $C$13, 100%, $E$13)</f>
        <v>6.1322000000000001</v>
      </c>
      <c r="K311" s="67">
        <f>6.1389 * CHOOSE(CONTROL!$C$23, $C$13, 100%, $E$13)</f>
        <v>6.1388999999999996</v>
      </c>
    </row>
    <row r="312" spans="1:11" ht="15">
      <c r="A312" s="13">
        <v>50618</v>
      </c>
      <c r="B312" s="66">
        <f>4.9713 * CHOOSE(CONTROL!$C$23, $C$13, 100%, $E$13)</f>
        <v>4.9713000000000003</v>
      </c>
      <c r="C312" s="66">
        <f>4.9713 * CHOOSE(CONTROL!$C$23, $C$13, 100%, $E$13)</f>
        <v>4.9713000000000003</v>
      </c>
      <c r="D312" s="66">
        <f>4.9768 * CHOOSE(CONTROL!$C$23, $C$13, 100%, $E$13)</f>
        <v>4.9767999999999999</v>
      </c>
      <c r="E312" s="67">
        <f>6.0481 * CHOOSE(CONTROL!$C$23, $C$13, 100%, $E$13)</f>
        <v>6.0480999999999998</v>
      </c>
      <c r="F312" s="67">
        <f>6.0481 * CHOOSE(CONTROL!$C$23, $C$13, 100%, $E$13)</f>
        <v>6.0480999999999998</v>
      </c>
      <c r="G312" s="67">
        <f>6.0549 * CHOOSE(CONTROL!$C$23, $C$13, 100%, $E$13)</f>
        <v>6.0548999999999999</v>
      </c>
      <c r="H312" s="67">
        <f>10.9015* CHOOSE(CONTROL!$C$23, $C$13, 100%, $E$13)</f>
        <v>10.9015</v>
      </c>
      <c r="I312" s="67">
        <f>10.9082 * CHOOSE(CONTROL!$C$23, $C$13, 100%, $E$13)</f>
        <v>10.908200000000001</v>
      </c>
      <c r="J312" s="67">
        <f>6.0481 * CHOOSE(CONTROL!$C$23, $C$13, 100%, $E$13)</f>
        <v>6.0480999999999998</v>
      </c>
      <c r="K312" s="67">
        <f>6.0549 * CHOOSE(CONTROL!$C$23, $C$13, 100%, $E$13)</f>
        <v>6.0548999999999999</v>
      </c>
    </row>
    <row r="313" spans="1:11" ht="15">
      <c r="A313" s="13">
        <v>50649</v>
      </c>
      <c r="B313" s="66">
        <f>4.9683 * CHOOSE(CONTROL!$C$23, $C$13, 100%, $E$13)</f>
        <v>4.9683000000000002</v>
      </c>
      <c r="C313" s="66">
        <f>4.9683 * CHOOSE(CONTROL!$C$23, $C$13, 100%, $E$13)</f>
        <v>4.9683000000000002</v>
      </c>
      <c r="D313" s="66">
        <f>4.9738 * CHOOSE(CONTROL!$C$23, $C$13, 100%, $E$13)</f>
        <v>4.9737999999999998</v>
      </c>
      <c r="E313" s="67">
        <f>6.0361 * CHOOSE(CONTROL!$C$23, $C$13, 100%, $E$13)</f>
        <v>6.0361000000000002</v>
      </c>
      <c r="F313" s="67">
        <f>6.0361 * CHOOSE(CONTROL!$C$23, $C$13, 100%, $E$13)</f>
        <v>6.0361000000000002</v>
      </c>
      <c r="G313" s="67">
        <f>6.0429 * CHOOSE(CONTROL!$C$23, $C$13, 100%, $E$13)</f>
        <v>6.0429000000000004</v>
      </c>
      <c r="H313" s="67">
        <f>10.9242* CHOOSE(CONTROL!$C$23, $C$13, 100%, $E$13)</f>
        <v>10.924200000000001</v>
      </c>
      <c r="I313" s="67">
        <f>10.9309 * CHOOSE(CONTROL!$C$23, $C$13, 100%, $E$13)</f>
        <v>10.930899999999999</v>
      </c>
      <c r="J313" s="67">
        <f>6.0361 * CHOOSE(CONTROL!$C$23, $C$13, 100%, $E$13)</f>
        <v>6.0361000000000002</v>
      </c>
      <c r="K313" s="67">
        <f>6.0429 * CHOOSE(CONTROL!$C$23, $C$13, 100%, $E$13)</f>
        <v>6.0429000000000004</v>
      </c>
    </row>
    <row r="314" spans="1:11" ht="15">
      <c r="A314" s="13">
        <v>50679</v>
      </c>
      <c r="B314" s="66">
        <f>4.9666 * CHOOSE(CONTROL!$C$23, $C$13, 100%, $E$13)</f>
        <v>4.9665999999999997</v>
      </c>
      <c r="C314" s="66">
        <f>4.9666 * CHOOSE(CONTROL!$C$23, $C$13, 100%, $E$13)</f>
        <v>4.9665999999999997</v>
      </c>
      <c r="D314" s="66">
        <f>4.9704 * CHOOSE(CONTROL!$C$23, $C$13, 100%, $E$13)</f>
        <v>4.9703999999999997</v>
      </c>
      <c r="E314" s="67">
        <f>6.0622 * CHOOSE(CONTROL!$C$23, $C$13, 100%, $E$13)</f>
        <v>6.0621999999999998</v>
      </c>
      <c r="F314" s="67">
        <f>6.0622 * CHOOSE(CONTROL!$C$23, $C$13, 100%, $E$13)</f>
        <v>6.0621999999999998</v>
      </c>
      <c r="G314" s="67">
        <f>6.0669 * CHOOSE(CONTROL!$C$23, $C$13, 100%, $E$13)</f>
        <v>6.0669000000000004</v>
      </c>
      <c r="H314" s="67">
        <f>10.9469* CHOOSE(CONTROL!$C$23, $C$13, 100%, $E$13)</f>
        <v>10.946899999999999</v>
      </c>
      <c r="I314" s="67">
        <f>10.9517 * CHOOSE(CONTROL!$C$23, $C$13, 100%, $E$13)</f>
        <v>10.951700000000001</v>
      </c>
      <c r="J314" s="67">
        <f>6.0622 * CHOOSE(CONTROL!$C$23, $C$13, 100%, $E$13)</f>
        <v>6.0621999999999998</v>
      </c>
      <c r="K314" s="67">
        <f>6.0669 * CHOOSE(CONTROL!$C$23, $C$13, 100%, $E$13)</f>
        <v>6.0669000000000004</v>
      </c>
    </row>
    <row r="315" spans="1:11" ht="15">
      <c r="A315" s="13">
        <v>50710</v>
      </c>
      <c r="B315" s="66">
        <f>4.9696 * CHOOSE(CONTROL!$C$23, $C$13, 100%, $E$13)</f>
        <v>4.9695999999999998</v>
      </c>
      <c r="C315" s="66">
        <f>4.9696 * CHOOSE(CONTROL!$C$23, $C$13, 100%, $E$13)</f>
        <v>4.9695999999999998</v>
      </c>
      <c r="D315" s="66">
        <f>4.9735 * CHOOSE(CONTROL!$C$23, $C$13, 100%, $E$13)</f>
        <v>4.9734999999999996</v>
      </c>
      <c r="E315" s="67">
        <f>6.084 * CHOOSE(CONTROL!$C$23, $C$13, 100%, $E$13)</f>
        <v>6.0839999999999996</v>
      </c>
      <c r="F315" s="67">
        <f>6.084 * CHOOSE(CONTROL!$C$23, $C$13, 100%, $E$13)</f>
        <v>6.0839999999999996</v>
      </c>
      <c r="G315" s="67">
        <f>6.0888 * CHOOSE(CONTROL!$C$23, $C$13, 100%, $E$13)</f>
        <v>6.0888</v>
      </c>
      <c r="H315" s="67">
        <f>10.9697* CHOOSE(CONTROL!$C$23, $C$13, 100%, $E$13)</f>
        <v>10.9697</v>
      </c>
      <c r="I315" s="67">
        <f>10.9745 * CHOOSE(CONTROL!$C$23, $C$13, 100%, $E$13)</f>
        <v>10.974500000000001</v>
      </c>
      <c r="J315" s="67">
        <f>6.084 * CHOOSE(CONTROL!$C$23, $C$13, 100%, $E$13)</f>
        <v>6.0839999999999996</v>
      </c>
      <c r="K315" s="67">
        <f>6.0888 * CHOOSE(CONTROL!$C$23, $C$13, 100%, $E$13)</f>
        <v>6.0888</v>
      </c>
    </row>
    <row r="316" spans="1:11" ht="15">
      <c r="A316" s="13">
        <v>50740</v>
      </c>
      <c r="B316" s="66">
        <f>4.9696 * CHOOSE(CONTROL!$C$23, $C$13, 100%, $E$13)</f>
        <v>4.9695999999999998</v>
      </c>
      <c r="C316" s="66">
        <f>4.9696 * CHOOSE(CONTROL!$C$23, $C$13, 100%, $E$13)</f>
        <v>4.9695999999999998</v>
      </c>
      <c r="D316" s="66">
        <f>4.9735 * CHOOSE(CONTROL!$C$23, $C$13, 100%, $E$13)</f>
        <v>4.9734999999999996</v>
      </c>
      <c r="E316" s="67">
        <f>6.061 * CHOOSE(CONTROL!$C$23, $C$13, 100%, $E$13)</f>
        <v>6.0609999999999999</v>
      </c>
      <c r="F316" s="67">
        <f>6.061 * CHOOSE(CONTROL!$C$23, $C$13, 100%, $E$13)</f>
        <v>6.0609999999999999</v>
      </c>
      <c r="G316" s="67">
        <f>6.0658 * CHOOSE(CONTROL!$C$23, $C$13, 100%, $E$13)</f>
        <v>6.0658000000000003</v>
      </c>
      <c r="H316" s="67">
        <f>10.9926* CHOOSE(CONTROL!$C$23, $C$13, 100%, $E$13)</f>
        <v>10.992599999999999</v>
      </c>
      <c r="I316" s="67">
        <f>10.9974 * CHOOSE(CONTROL!$C$23, $C$13, 100%, $E$13)</f>
        <v>10.997400000000001</v>
      </c>
      <c r="J316" s="67">
        <f>6.061 * CHOOSE(CONTROL!$C$23, $C$13, 100%, $E$13)</f>
        <v>6.0609999999999999</v>
      </c>
      <c r="K316" s="67">
        <f>6.0658 * CHOOSE(CONTROL!$C$23, $C$13, 100%, $E$13)</f>
        <v>6.0658000000000003</v>
      </c>
    </row>
    <row r="317" spans="1:11" ht="15">
      <c r="A317" s="13">
        <v>50771</v>
      </c>
      <c r="B317" s="66">
        <f>5.014 * CHOOSE(CONTROL!$C$23, $C$13, 100%, $E$13)</f>
        <v>5.0140000000000002</v>
      </c>
      <c r="C317" s="66">
        <f>5.014 * CHOOSE(CONTROL!$C$23, $C$13, 100%, $E$13)</f>
        <v>5.0140000000000002</v>
      </c>
      <c r="D317" s="66">
        <f>5.0178 * CHOOSE(CONTROL!$C$23, $C$13, 100%, $E$13)</f>
        <v>5.0178000000000003</v>
      </c>
      <c r="E317" s="67">
        <f>6.1195 * CHOOSE(CONTROL!$C$23, $C$13, 100%, $E$13)</f>
        <v>6.1195000000000004</v>
      </c>
      <c r="F317" s="67">
        <f>6.1195 * CHOOSE(CONTROL!$C$23, $C$13, 100%, $E$13)</f>
        <v>6.1195000000000004</v>
      </c>
      <c r="G317" s="67">
        <f>6.1242 * CHOOSE(CONTROL!$C$23, $C$13, 100%, $E$13)</f>
        <v>6.1242000000000001</v>
      </c>
      <c r="H317" s="67">
        <f>11.0155* CHOOSE(CONTROL!$C$23, $C$13, 100%, $E$13)</f>
        <v>11.015499999999999</v>
      </c>
      <c r="I317" s="67">
        <f>11.0203 * CHOOSE(CONTROL!$C$23, $C$13, 100%, $E$13)</f>
        <v>11.020300000000001</v>
      </c>
      <c r="J317" s="67">
        <f>6.1195 * CHOOSE(CONTROL!$C$23, $C$13, 100%, $E$13)</f>
        <v>6.1195000000000004</v>
      </c>
      <c r="K317" s="67">
        <f>6.1242 * CHOOSE(CONTROL!$C$23, $C$13, 100%, $E$13)</f>
        <v>6.1242000000000001</v>
      </c>
    </row>
    <row r="318" spans="1:11" ht="15">
      <c r="A318" s="13">
        <v>50802</v>
      </c>
      <c r="B318" s="66">
        <f>5.0109 * CHOOSE(CONTROL!$C$23, $C$13, 100%, $E$13)</f>
        <v>5.0109000000000004</v>
      </c>
      <c r="C318" s="66">
        <f>5.0109 * CHOOSE(CONTROL!$C$23, $C$13, 100%, $E$13)</f>
        <v>5.0109000000000004</v>
      </c>
      <c r="D318" s="66">
        <f>5.0148 * CHOOSE(CONTROL!$C$23, $C$13, 100%, $E$13)</f>
        <v>5.0148000000000001</v>
      </c>
      <c r="E318" s="67">
        <f>6.0216 * CHOOSE(CONTROL!$C$23, $C$13, 100%, $E$13)</f>
        <v>6.0216000000000003</v>
      </c>
      <c r="F318" s="67">
        <f>6.0216 * CHOOSE(CONTROL!$C$23, $C$13, 100%, $E$13)</f>
        <v>6.0216000000000003</v>
      </c>
      <c r="G318" s="67">
        <f>6.0264 * CHOOSE(CONTROL!$C$23, $C$13, 100%, $E$13)</f>
        <v>6.0263999999999998</v>
      </c>
      <c r="H318" s="67">
        <f>11.0384* CHOOSE(CONTROL!$C$23, $C$13, 100%, $E$13)</f>
        <v>11.038399999999999</v>
      </c>
      <c r="I318" s="67">
        <f>11.0432 * CHOOSE(CONTROL!$C$23, $C$13, 100%, $E$13)</f>
        <v>11.043200000000001</v>
      </c>
      <c r="J318" s="67">
        <f>6.0216 * CHOOSE(CONTROL!$C$23, $C$13, 100%, $E$13)</f>
        <v>6.0216000000000003</v>
      </c>
      <c r="K318" s="67">
        <f>6.0264 * CHOOSE(CONTROL!$C$23, $C$13, 100%, $E$13)</f>
        <v>6.0263999999999998</v>
      </c>
    </row>
    <row r="319" spans="1:11" ht="15">
      <c r="A319" s="13">
        <v>50830</v>
      </c>
      <c r="B319" s="66">
        <f>5.0079 * CHOOSE(CONTROL!$C$23, $C$13, 100%, $E$13)</f>
        <v>5.0079000000000002</v>
      </c>
      <c r="C319" s="66">
        <f>5.0079 * CHOOSE(CONTROL!$C$23, $C$13, 100%, $E$13)</f>
        <v>5.0079000000000002</v>
      </c>
      <c r="D319" s="66">
        <f>5.0118 * CHOOSE(CONTROL!$C$23, $C$13, 100%, $E$13)</f>
        <v>5.0118</v>
      </c>
      <c r="E319" s="67">
        <f>6.095 * CHOOSE(CONTROL!$C$23, $C$13, 100%, $E$13)</f>
        <v>6.0949999999999998</v>
      </c>
      <c r="F319" s="67">
        <f>6.095 * CHOOSE(CONTROL!$C$23, $C$13, 100%, $E$13)</f>
        <v>6.0949999999999998</v>
      </c>
      <c r="G319" s="67">
        <f>6.0997 * CHOOSE(CONTROL!$C$23, $C$13, 100%, $E$13)</f>
        <v>6.0997000000000003</v>
      </c>
      <c r="H319" s="67">
        <f>11.0614* CHOOSE(CONTROL!$C$23, $C$13, 100%, $E$13)</f>
        <v>11.061400000000001</v>
      </c>
      <c r="I319" s="67">
        <f>11.0662 * CHOOSE(CONTROL!$C$23, $C$13, 100%, $E$13)</f>
        <v>11.0662</v>
      </c>
      <c r="J319" s="67">
        <f>6.095 * CHOOSE(CONTROL!$C$23, $C$13, 100%, $E$13)</f>
        <v>6.0949999999999998</v>
      </c>
      <c r="K319" s="67">
        <f>6.0997 * CHOOSE(CONTROL!$C$23, $C$13, 100%, $E$13)</f>
        <v>6.0997000000000003</v>
      </c>
    </row>
    <row r="320" spans="1:11" ht="15">
      <c r="A320" s="13">
        <v>50861</v>
      </c>
      <c r="B320" s="66">
        <f>5.0064 * CHOOSE(CONTROL!$C$23, $C$13, 100%, $E$13)</f>
        <v>5.0064000000000002</v>
      </c>
      <c r="C320" s="66">
        <f>5.0064 * CHOOSE(CONTROL!$C$23, $C$13, 100%, $E$13)</f>
        <v>5.0064000000000002</v>
      </c>
      <c r="D320" s="66">
        <f>5.0103 * CHOOSE(CONTROL!$C$23, $C$13, 100%, $E$13)</f>
        <v>5.0103</v>
      </c>
      <c r="E320" s="67">
        <f>6.1718 * CHOOSE(CONTROL!$C$23, $C$13, 100%, $E$13)</f>
        <v>6.1718000000000002</v>
      </c>
      <c r="F320" s="67">
        <f>6.1718 * CHOOSE(CONTROL!$C$23, $C$13, 100%, $E$13)</f>
        <v>6.1718000000000002</v>
      </c>
      <c r="G320" s="67">
        <f>6.1765 * CHOOSE(CONTROL!$C$23, $C$13, 100%, $E$13)</f>
        <v>6.1764999999999999</v>
      </c>
      <c r="H320" s="67">
        <f>11.0845* CHOOSE(CONTROL!$C$23, $C$13, 100%, $E$13)</f>
        <v>11.0845</v>
      </c>
      <c r="I320" s="67">
        <f>11.0892 * CHOOSE(CONTROL!$C$23, $C$13, 100%, $E$13)</f>
        <v>11.0892</v>
      </c>
      <c r="J320" s="67">
        <f>6.1718 * CHOOSE(CONTROL!$C$23, $C$13, 100%, $E$13)</f>
        <v>6.1718000000000002</v>
      </c>
      <c r="K320" s="67">
        <f>6.1765 * CHOOSE(CONTROL!$C$23, $C$13, 100%, $E$13)</f>
        <v>6.1764999999999999</v>
      </c>
    </row>
    <row r="321" spans="1:11" ht="15">
      <c r="A321" s="13">
        <v>50891</v>
      </c>
      <c r="B321" s="66">
        <f>5.0064 * CHOOSE(CONTROL!$C$23, $C$13, 100%, $E$13)</f>
        <v>5.0064000000000002</v>
      </c>
      <c r="C321" s="66">
        <f>5.0064 * CHOOSE(CONTROL!$C$23, $C$13, 100%, $E$13)</f>
        <v>5.0064000000000002</v>
      </c>
      <c r="D321" s="66">
        <f>5.0119 * CHOOSE(CONTROL!$C$23, $C$13, 100%, $E$13)</f>
        <v>5.0118999999999998</v>
      </c>
      <c r="E321" s="67">
        <f>6.2021 * CHOOSE(CONTROL!$C$23, $C$13, 100%, $E$13)</f>
        <v>6.2020999999999997</v>
      </c>
      <c r="F321" s="67">
        <f>6.2021 * CHOOSE(CONTROL!$C$23, $C$13, 100%, $E$13)</f>
        <v>6.2020999999999997</v>
      </c>
      <c r="G321" s="67">
        <f>6.2089 * CHOOSE(CONTROL!$C$23, $C$13, 100%, $E$13)</f>
        <v>6.2088999999999999</v>
      </c>
      <c r="H321" s="67">
        <f>11.1076* CHOOSE(CONTROL!$C$23, $C$13, 100%, $E$13)</f>
        <v>11.1076</v>
      </c>
      <c r="I321" s="67">
        <f>11.1143 * CHOOSE(CONTROL!$C$23, $C$13, 100%, $E$13)</f>
        <v>11.1143</v>
      </c>
      <c r="J321" s="67">
        <f>6.2021 * CHOOSE(CONTROL!$C$23, $C$13, 100%, $E$13)</f>
        <v>6.2020999999999997</v>
      </c>
      <c r="K321" s="67">
        <f>6.2089 * CHOOSE(CONTROL!$C$23, $C$13, 100%, $E$13)</f>
        <v>6.2088999999999999</v>
      </c>
    </row>
    <row r="322" spans="1:11" ht="15">
      <c r="A322" s="13">
        <v>50922</v>
      </c>
      <c r="B322" s="66">
        <f>5.0125 * CHOOSE(CONTROL!$C$23, $C$13, 100%, $E$13)</f>
        <v>5.0125000000000002</v>
      </c>
      <c r="C322" s="66">
        <f>5.0125 * CHOOSE(CONTROL!$C$23, $C$13, 100%, $E$13)</f>
        <v>5.0125000000000002</v>
      </c>
      <c r="D322" s="66">
        <f>5.018 * CHOOSE(CONTROL!$C$23, $C$13, 100%, $E$13)</f>
        <v>5.0179999999999998</v>
      </c>
      <c r="E322" s="67">
        <f>6.176 * CHOOSE(CONTROL!$C$23, $C$13, 100%, $E$13)</f>
        <v>6.1760000000000002</v>
      </c>
      <c r="F322" s="67">
        <f>6.176 * CHOOSE(CONTROL!$C$23, $C$13, 100%, $E$13)</f>
        <v>6.1760000000000002</v>
      </c>
      <c r="G322" s="67">
        <f>6.1827 * CHOOSE(CONTROL!$C$23, $C$13, 100%, $E$13)</f>
        <v>6.1826999999999996</v>
      </c>
      <c r="H322" s="67">
        <f>11.1307* CHOOSE(CONTROL!$C$23, $C$13, 100%, $E$13)</f>
        <v>11.130699999999999</v>
      </c>
      <c r="I322" s="67">
        <f>11.1374 * CHOOSE(CONTROL!$C$23, $C$13, 100%, $E$13)</f>
        <v>11.1374</v>
      </c>
      <c r="J322" s="67">
        <f>6.176 * CHOOSE(CONTROL!$C$23, $C$13, 100%, $E$13)</f>
        <v>6.1760000000000002</v>
      </c>
      <c r="K322" s="67">
        <f>6.1827 * CHOOSE(CONTROL!$C$23, $C$13, 100%, $E$13)</f>
        <v>6.1826999999999996</v>
      </c>
    </row>
    <row r="323" spans="1:11" ht="15">
      <c r="A323" s="13">
        <v>50952</v>
      </c>
      <c r="B323" s="66">
        <f>5.0952 * CHOOSE(CONTROL!$C$23, $C$13, 100%, $E$13)</f>
        <v>5.0952000000000002</v>
      </c>
      <c r="C323" s="66">
        <f>5.0952 * CHOOSE(CONTROL!$C$23, $C$13, 100%, $E$13)</f>
        <v>5.0952000000000002</v>
      </c>
      <c r="D323" s="66">
        <f>5.1007 * CHOOSE(CONTROL!$C$23, $C$13, 100%, $E$13)</f>
        <v>5.1006999999999998</v>
      </c>
      <c r="E323" s="67">
        <f>6.2809 * CHOOSE(CONTROL!$C$23, $C$13, 100%, $E$13)</f>
        <v>6.2808999999999999</v>
      </c>
      <c r="F323" s="67">
        <f>6.2809 * CHOOSE(CONTROL!$C$23, $C$13, 100%, $E$13)</f>
        <v>6.2808999999999999</v>
      </c>
      <c r="G323" s="67">
        <f>6.2877 * CHOOSE(CONTROL!$C$23, $C$13, 100%, $E$13)</f>
        <v>6.2877000000000001</v>
      </c>
      <c r="H323" s="67">
        <f>11.1539* CHOOSE(CONTROL!$C$23, $C$13, 100%, $E$13)</f>
        <v>11.1539</v>
      </c>
      <c r="I323" s="67">
        <f>11.1606 * CHOOSE(CONTROL!$C$23, $C$13, 100%, $E$13)</f>
        <v>11.160600000000001</v>
      </c>
      <c r="J323" s="67">
        <f>6.2809 * CHOOSE(CONTROL!$C$23, $C$13, 100%, $E$13)</f>
        <v>6.2808999999999999</v>
      </c>
      <c r="K323" s="67">
        <f>6.2877 * CHOOSE(CONTROL!$C$23, $C$13, 100%, $E$13)</f>
        <v>6.2877000000000001</v>
      </c>
    </row>
    <row r="324" spans="1:11" ht="15">
      <c r="A324" s="13">
        <v>50983</v>
      </c>
      <c r="B324" s="66">
        <f>5.1019 * CHOOSE(CONTROL!$C$23, $C$13, 100%, $E$13)</f>
        <v>5.1018999999999997</v>
      </c>
      <c r="C324" s="66">
        <f>5.1019 * CHOOSE(CONTROL!$C$23, $C$13, 100%, $E$13)</f>
        <v>5.1018999999999997</v>
      </c>
      <c r="D324" s="66">
        <f>5.1074 * CHOOSE(CONTROL!$C$23, $C$13, 100%, $E$13)</f>
        <v>5.1074000000000002</v>
      </c>
      <c r="E324" s="67">
        <f>6.1944 * CHOOSE(CONTROL!$C$23, $C$13, 100%, $E$13)</f>
        <v>6.1943999999999999</v>
      </c>
      <c r="F324" s="67">
        <f>6.1944 * CHOOSE(CONTROL!$C$23, $C$13, 100%, $E$13)</f>
        <v>6.1943999999999999</v>
      </c>
      <c r="G324" s="67">
        <f>6.2012 * CHOOSE(CONTROL!$C$23, $C$13, 100%, $E$13)</f>
        <v>6.2012</v>
      </c>
      <c r="H324" s="67">
        <f>11.1771* CHOOSE(CONTROL!$C$23, $C$13, 100%, $E$13)</f>
        <v>11.177099999999999</v>
      </c>
      <c r="I324" s="67">
        <f>11.1839 * CHOOSE(CONTROL!$C$23, $C$13, 100%, $E$13)</f>
        <v>11.1839</v>
      </c>
      <c r="J324" s="67">
        <f>6.1944 * CHOOSE(CONTROL!$C$23, $C$13, 100%, $E$13)</f>
        <v>6.1943999999999999</v>
      </c>
      <c r="K324" s="67">
        <f>6.2012 * CHOOSE(CONTROL!$C$23, $C$13, 100%, $E$13)</f>
        <v>6.2012</v>
      </c>
    </row>
    <row r="325" spans="1:11" ht="15">
      <c r="A325" s="13">
        <v>51014</v>
      </c>
      <c r="B325" s="66">
        <f>5.0988 * CHOOSE(CONTROL!$C$23, $C$13, 100%, $E$13)</f>
        <v>5.0987999999999998</v>
      </c>
      <c r="C325" s="66">
        <f>5.0988 * CHOOSE(CONTROL!$C$23, $C$13, 100%, $E$13)</f>
        <v>5.0987999999999998</v>
      </c>
      <c r="D325" s="66">
        <f>5.1043 * CHOOSE(CONTROL!$C$23, $C$13, 100%, $E$13)</f>
        <v>5.1043000000000003</v>
      </c>
      <c r="E325" s="67">
        <f>6.1822 * CHOOSE(CONTROL!$C$23, $C$13, 100%, $E$13)</f>
        <v>6.1821999999999999</v>
      </c>
      <c r="F325" s="67">
        <f>6.1822 * CHOOSE(CONTROL!$C$23, $C$13, 100%, $E$13)</f>
        <v>6.1821999999999999</v>
      </c>
      <c r="G325" s="67">
        <f>6.1889 * CHOOSE(CONTROL!$C$23, $C$13, 100%, $E$13)</f>
        <v>6.1889000000000003</v>
      </c>
      <c r="H325" s="67">
        <f>11.2004* CHOOSE(CONTROL!$C$23, $C$13, 100%, $E$13)</f>
        <v>11.2004</v>
      </c>
      <c r="I325" s="67">
        <f>11.2072 * CHOOSE(CONTROL!$C$23, $C$13, 100%, $E$13)</f>
        <v>11.2072</v>
      </c>
      <c r="J325" s="67">
        <f>6.1822 * CHOOSE(CONTROL!$C$23, $C$13, 100%, $E$13)</f>
        <v>6.1821999999999999</v>
      </c>
      <c r="K325" s="67">
        <f>6.1889 * CHOOSE(CONTROL!$C$23, $C$13, 100%, $E$13)</f>
        <v>6.1889000000000003</v>
      </c>
    </row>
    <row r="326" spans="1:11" ht="15">
      <c r="A326" s="13">
        <v>51044</v>
      </c>
      <c r="B326" s="66">
        <f>5.0975 * CHOOSE(CONTROL!$C$23, $C$13, 100%, $E$13)</f>
        <v>5.0975000000000001</v>
      </c>
      <c r="C326" s="66">
        <f>5.0975 * CHOOSE(CONTROL!$C$23, $C$13, 100%, $E$13)</f>
        <v>5.0975000000000001</v>
      </c>
      <c r="D326" s="66">
        <f>5.1014 * CHOOSE(CONTROL!$C$23, $C$13, 100%, $E$13)</f>
        <v>5.1013999999999999</v>
      </c>
      <c r="E326" s="67">
        <f>6.2093 * CHOOSE(CONTROL!$C$23, $C$13, 100%, $E$13)</f>
        <v>6.2092999999999998</v>
      </c>
      <c r="F326" s="67">
        <f>6.2093 * CHOOSE(CONTROL!$C$23, $C$13, 100%, $E$13)</f>
        <v>6.2092999999999998</v>
      </c>
      <c r="G326" s="67">
        <f>6.214 * CHOOSE(CONTROL!$C$23, $C$13, 100%, $E$13)</f>
        <v>6.2140000000000004</v>
      </c>
      <c r="H326" s="67">
        <f>11.2238* CHOOSE(CONTROL!$C$23, $C$13, 100%, $E$13)</f>
        <v>11.223800000000001</v>
      </c>
      <c r="I326" s="67">
        <f>11.2285 * CHOOSE(CONTROL!$C$23, $C$13, 100%, $E$13)</f>
        <v>11.2285</v>
      </c>
      <c r="J326" s="67">
        <f>6.2093 * CHOOSE(CONTROL!$C$23, $C$13, 100%, $E$13)</f>
        <v>6.2092999999999998</v>
      </c>
      <c r="K326" s="67">
        <f>6.214 * CHOOSE(CONTROL!$C$23, $C$13, 100%, $E$13)</f>
        <v>6.2140000000000004</v>
      </c>
    </row>
    <row r="327" spans="1:11" ht="15">
      <c r="A327" s="13">
        <v>51075</v>
      </c>
      <c r="B327" s="66">
        <f>5.1006 * CHOOSE(CONTROL!$C$23, $C$13, 100%, $E$13)</f>
        <v>5.1006</v>
      </c>
      <c r="C327" s="66">
        <f>5.1006 * CHOOSE(CONTROL!$C$23, $C$13, 100%, $E$13)</f>
        <v>5.1006</v>
      </c>
      <c r="D327" s="66">
        <f>5.1044 * CHOOSE(CONTROL!$C$23, $C$13, 100%, $E$13)</f>
        <v>5.1044</v>
      </c>
      <c r="E327" s="67">
        <f>6.2316 * CHOOSE(CONTROL!$C$23, $C$13, 100%, $E$13)</f>
        <v>6.2316000000000003</v>
      </c>
      <c r="F327" s="67">
        <f>6.2316 * CHOOSE(CONTROL!$C$23, $C$13, 100%, $E$13)</f>
        <v>6.2316000000000003</v>
      </c>
      <c r="G327" s="67">
        <f>6.2364 * CHOOSE(CONTROL!$C$23, $C$13, 100%, $E$13)</f>
        <v>6.2363999999999997</v>
      </c>
      <c r="H327" s="67">
        <f>11.2471* CHOOSE(CONTROL!$C$23, $C$13, 100%, $E$13)</f>
        <v>11.2471</v>
      </c>
      <c r="I327" s="67">
        <f>11.2519 * CHOOSE(CONTROL!$C$23, $C$13, 100%, $E$13)</f>
        <v>11.251899999999999</v>
      </c>
      <c r="J327" s="67">
        <f>6.2316 * CHOOSE(CONTROL!$C$23, $C$13, 100%, $E$13)</f>
        <v>6.2316000000000003</v>
      </c>
      <c r="K327" s="67">
        <f>6.2364 * CHOOSE(CONTROL!$C$23, $C$13, 100%, $E$13)</f>
        <v>6.2363999999999997</v>
      </c>
    </row>
    <row r="328" spans="1:11" ht="15">
      <c r="A328" s="13">
        <v>51105</v>
      </c>
      <c r="B328" s="66">
        <f>5.1006 * CHOOSE(CONTROL!$C$23, $C$13, 100%, $E$13)</f>
        <v>5.1006</v>
      </c>
      <c r="C328" s="66">
        <f>5.1006 * CHOOSE(CONTROL!$C$23, $C$13, 100%, $E$13)</f>
        <v>5.1006</v>
      </c>
      <c r="D328" s="66">
        <f>5.1044 * CHOOSE(CONTROL!$C$23, $C$13, 100%, $E$13)</f>
        <v>5.1044</v>
      </c>
      <c r="E328" s="67">
        <f>6.181 * CHOOSE(CONTROL!$C$23, $C$13, 100%, $E$13)</f>
        <v>6.181</v>
      </c>
      <c r="F328" s="67">
        <f>6.181 * CHOOSE(CONTROL!$C$23, $C$13, 100%, $E$13)</f>
        <v>6.181</v>
      </c>
      <c r="G328" s="67">
        <f>6.1858 * CHOOSE(CONTROL!$C$23, $C$13, 100%, $E$13)</f>
        <v>6.1858000000000004</v>
      </c>
      <c r="H328" s="67">
        <f>11.2706* CHOOSE(CONTROL!$C$23, $C$13, 100%, $E$13)</f>
        <v>11.2706</v>
      </c>
      <c r="I328" s="67">
        <f>11.2753 * CHOOSE(CONTROL!$C$23, $C$13, 100%, $E$13)</f>
        <v>11.2753</v>
      </c>
      <c r="J328" s="67">
        <f>6.181 * CHOOSE(CONTROL!$C$23, $C$13, 100%, $E$13)</f>
        <v>6.181</v>
      </c>
      <c r="K328" s="67">
        <f>6.1858 * CHOOSE(CONTROL!$C$23, $C$13, 100%, $E$13)</f>
        <v>6.1858000000000004</v>
      </c>
    </row>
    <row r="329" spans="1:11" ht="15">
      <c r="A329" s="13">
        <v>51136</v>
      </c>
      <c r="B329" s="66">
        <f>5.146 * CHOOSE(CONTROL!$C$23, $C$13, 100%, $E$13)</f>
        <v>5.1459999999999999</v>
      </c>
      <c r="C329" s="66">
        <f>5.146 * CHOOSE(CONTROL!$C$23, $C$13, 100%, $E$13)</f>
        <v>5.1459999999999999</v>
      </c>
      <c r="D329" s="66">
        <f>5.1498 * CHOOSE(CONTROL!$C$23, $C$13, 100%, $E$13)</f>
        <v>5.1497999999999999</v>
      </c>
      <c r="E329" s="67">
        <f>6.2686 * CHOOSE(CONTROL!$C$23, $C$13, 100%, $E$13)</f>
        <v>6.2686000000000002</v>
      </c>
      <c r="F329" s="67">
        <f>6.2686 * CHOOSE(CONTROL!$C$23, $C$13, 100%, $E$13)</f>
        <v>6.2686000000000002</v>
      </c>
      <c r="G329" s="67">
        <f>6.2734 * CHOOSE(CONTROL!$C$23, $C$13, 100%, $E$13)</f>
        <v>6.2733999999999996</v>
      </c>
      <c r="H329" s="67">
        <f>11.2941* CHOOSE(CONTROL!$C$23, $C$13, 100%, $E$13)</f>
        <v>11.2941</v>
      </c>
      <c r="I329" s="67">
        <f>11.2988 * CHOOSE(CONTROL!$C$23, $C$13, 100%, $E$13)</f>
        <v>11.2988</v>
      </c>
      <c r="J329" s="67">
        <f>6.2686 * CHOOSE(CONTROL!$C$23, $C$13, 100%, $E$13)</f>
        <v>6.2686000000000002</v>
      </c>
      <c r="K329" s="67">
        <f>6.2734 * CHOOSE(CONTROL!$C$23, $C$13, 100%, $E$13)</f>
        <v>6.2733999999999996</v>
      </c>
    </row>
    <row r="330" spans="1:11" ht="15">
      <c r="A330" s="13">
        <v>51167</v>
      </c>
      <c r="B330" s="66">
        <f>5.1429 * CHOOSE(CONTROL!$C$23, $C$13, 100%, $E$13)</f>
        <v>5.1429</v>
      </c>
      <c r="C330" s="66">
        <f>5.1429 * CHOOSE(CONTROL!$C$23, $C$13, 100%, $E$13)</f>
        <v>5.1429</v>
      </c>
      <c r="D330" s="66">
        <f>5.1468 * CHOOSE(CONTROL!$C$23, $C$13, 100%, $E$13)</f>
        <v>5.1467999999999998</v>
      </c>
      <c r="E330" s="67">
        <f>6.1681 * CHOOSE(CONTROL!$C$23, $C$13, 100%, $E$13)</f>
        <v>6.1680999999999999</v>
      </c>
      <c r="F330" s="67">
        <f>6.1681 * CHOOSE(CONTROL!$C$23, $C$13, 100%, $E$13)</f>
        <v>6.1680999999999999</v>
      </c>
      <c r="G330" s="67">
        <f>6.1728 * CHOOSE(CONTROL!$C$23, $C$13, 100%, $E$13)</f>
        <v>6.1727999999999996</v>
      </c>
      <c r="H330" s="67">
        <f>11.3176* CHOOSE(CONTROL!$C$23, $C$13, 100%, $E$13)</f>
        <v>11.317600000000001</v>
      </c>
      <c r="I330" s="67">
        <f>11.3224 * CHOOSE(CONTROL!$C$23, $C$13, 100%, $E$13)</f>
        <v>11.3224</v>
      </c>
      <c r="J330" s="67">
        <f>6.1681 * CHOOSE(CONTROL!$C$23, $C$13, 100%, $E$13)</f>
        <v>6.1680999999999999</v>
      </c>
      <c r="K330" s="67">
        <f>6.1728 * CHOOSE(CONTROL!$C$23, $C$13, 100%, $E$13)</f>
        <v>6.1727999999999996</v>
      </c>
    </row>
    <row r="331" spans="1:11" ht="15">
      <c r="A331" s="13">
        <v>51196</v>
      </c>
      <c r="B331" s="66">
        <f>5.1399 * CHOOSE(CONTROL!$C$23, $C$13, 100%, $E$13)</f>
        <v>5.1398999999999999</v>
      </c>
      <c r="C331" s="66">
        <f>5.1399 * CHOOSE(CONTROL!$C$23, $C$13, 100%, $E$13)</f>
        <v>5.1398999999999999</v>
      </c>
      <c r="D331" s="66">
        <f>5.1437 * CHOOSE(CONTROL!$C$23, $C$13, 100%, $E$13)</f>
        <v>5.1436999999999999</v>
      </c>
      <c r="E331" s="67">
        <f>6.2435 * CHOOSE(CONTROL!$C$23, $C$13, 100%, $E$13)</f>
        <v>6.2435</v>
      </c>
      <c r="F331" s="67">
        <f>6.2435 * CHOOSE(CONTROL!$C$23, $C$13, 100%, $E$13)</f>
        <v>6.2435</v>
      </c>
      <c r="G331" s="67">
        <f>6.2483 * CHOOSE(CONTROL!$C$23, $C$13, 100%, $E$13)</f>
        <v>6.2483000000000004</v>
      </c>
      <c r="H331" s="67">
        <f>11.3412* CHOOSE(CONTROL!$C$23, $C$13, 100%, $E$13)</f>
        <v>11.341200000000001</v>
      </c>
      <c r="I331" s="67">
        <f>11.3459 * CHOOSE(CONTROL!$C$23, $C$13, 100%, $E$13)</f>
        <v>11.3459</v>
      </c>
      <c r="J331" s="67">
        <f>6.2435 * CHOOSE(CONTROL!$C$23, $C$13, 100%, $E$13)</f>
        <v>6.2435</v>
      </c>
      <c r="K331" s="67">
        <f>6.2483 * CHOOSE(CONTROL!$C$23, $C$13, 100%, $E$13)</f>
        <v>6.2483000000000004</v>
      </c>
    </row>
    <row r="332" spans="1:11" ht="15">
      <c r="A332" s="13">
        <v>51227</v>
      </c>
      <c r="B332" s="66">
        <f>5.1385 * CHOOSE(CONTROL!$C$23, $C$13, 100%, $E$13)</f>
        <v>5.1384999999999996</v>
      </c>
      <c r="C332" s="66">
        <f>5.1385 * CHOOSE(CONTROL!$C$23, $C$13, 100%, $E$13)</f>
        <v>5.1384999999999996</v>
      </c>
      <c r="D332" s="66">
        <f>5.1424 * CHOOSE(CONTROL!$C$23, $C$13, 100%, $E$13)</f>
        <v>5.1424000000000003</v>
      </c>
      <c r="E332" s="67">
        <f>6.3226 * CHOOSE(CONTROL!$C$23, $C$13, 100%, $E$13)</f>
        <v>6.3226000000000004</v>
      </c>
      <c r="F332" s="67">
        <f>6.3226 * CHOOSE(CONTROL!$C$23, $C$13, 100%, $E$13)</f>
        <v>6.3226000000000004</v>
      </c>
      <c r="G332" s="67">
        <f>6.3274 * CHOOSE(CONTROL!$C$23, $C$13, 100%, $E$13)</f>
        <v>6.3273999999999999</v>
      </c>
      <c r="H332" s="67">
        <f>11.3648* CHOOSE(CONTROL!$C$23, $C$13, 100%, $E$13)</f>
        <v>11.364800000000001</v>
      </c>
      <c r="I332" s="67">
        <f>11.3696 * CHOOSE(CONTROL!$C$23, $C$13, 100%, $E$13)</f>
        <v>11.3696</v>
      </c>
      <c r="J332" s="67">
        <f>6.3226 * CHOOSE(CONTROL!$C$23, $C$13, 100%, $E$13)</f>
        <v>6.3226000000000004</v>
      </c>
      <c r="K332" s="67">
        <f>6.3274 * CHOOSE(CONTROL!$C$23, $C$13, 100%, $E$13)</f>
        <v>6.3273999999999999</v>
      </c>
    </row>
    <row r="333" spans="1:11" ht="15">
      <c r="A333" s="13">
        <v>51257</v>
      </c>
      <c r="B333" s="66">
        <f>5.1385 * CHOOSE(CONTROL!$C$23, $C$13, 100%, $E$13)</f>
        <v>5.1384999999999996</v>
      </c>
      <c r="C333" s="66">
        <f>5.1385 * CHOOSE(CONTROL!$C$23, $C$13, 100%, $E$13)</f>
        <v>5.1384999999999996</v>
      </c>
      <c r="D333" s="66">
        <f>5.144 * CHOOSE(CONTROL!$C$23, $C$13, 100%, $E$13)</f>
        <v>5.1440000000000001</v>
      </c>
      <c r="E333" s="67">
        <f>6.3538 * CHOOSE(CONTROL!$C$23, $C$13, 100%, $E$13)</f>
        <v>6.3537999999999997</v>
      </c>
      <c r="F333" s="67">
        <f>6.3538 * CHOOSE(CONTROL!$C$23, $C$13, 100%, $E$13)</f>
        <v>6.3537999999999997</v>
      </c>
      <c r="G333" s="67">
        <f>6.3606 * CHOOSE(CONTROL!$C$23, $C$13, 100%, $E$13)</f>
        <v>6.3605999999999998</v>
      </c>
      <c r="H333" s="67">
        <f>11.3885* CHOOSE(CONTROL!$C$23, $C$13, 100%, $E$13)</f>
        <v>11.388500000000001</v>
      </c>
      <c r="I333" s="67">
        <f>11.3952 * CHOOSE(CONTROL!$C$23, $C$13, 100%, $E$13)</f>
        <v>11.395200000000001</v>
      </c>
      <c r="J333" s="67">
        <f>6.3538 * CHOOSE(CONTROL!$C$23, $C$13, 100%, $E$13)</f>
        <v>6.3537999999999997</v>
      </c>
      <c r="K333" s="67">
        <f>6.3606 * CHOOSE(CONTROL!$C$23, $C$13, 100%, $E$13)</f>
        <v>6.3605999999999998</v>
      </c>
    </row>
    <row r="334" spans="1:11" ht="15">
      <c r="A334" s="13">
        <v>51288</v>
      </c>
      <c r="B334" s="66">
        <f>5.1446 * CHOOSE(CONTROL!$C$23, $C$13, 100%, $E$13)</f>
        <v>5.1445999999999996</v>
      </c>
      <c r="C334" s="66">
        <f>5.1446 * CHOOSE(CONTROL!$C$23, $C$13, 100%, $E$13)</f>
        <v>5.1445999999999996</v>
      </c>
      <c r="D334" s="66">
        <f>5.1501 * CHOOSE(CONTROL!$C$23, $C$13, 100%, $E$13)</f>
        <v>5.1501000000000001</v>
      </c>
      <c r="E334" s="67">
        <f>6.3268 * CHOOSE(CONTROL!$C$23, $C$13, 100%, $E$13)</f>
        <v>6.3268000000000004</v>
      </c>
      <c r="F334" s="67">
        <f>6.3268 * CHOOSE(CONTROL!$C$23, $C$13, 100%, $E$13)</f>
        <v>6.3268000000000004</v>
      </c>
      <c r="G334" s="67">
        <f>6.3336 * CHOOSE(CONTROL!$C$23, $C$13, 100%, $E$13)</f>
        <v>6.3335999999999997</v>
      </c>
      <c r="H334" s="67">
        <f>11.4122* CHOOSE(CONTROL!$C$23, $C$13, 100%, $E$13)</f>
        <v>11.4122</v>
      </c>
      <c r="I334" s="67">
        <f>11.4189 * CHOOSE(CONTROL!$C$23, $C$13, 100%, $E$13)</f>
        <v>11.418900000000001</v>
      </c>
      <c r="J334" s="67">
        <f>6.3268 * CHOOSE(CONTROL!$C$23, $C$13, 100%, $E$13)</f>
        <v>6.3268000000000004</v>
      </c>
      <c r="K334" s="67">
        <f>6.3336 * CHOOSE(CONTROL!$C$23, $C$13, 100%, $E$13)</f>
        <v>6.3335999999999997</v>
      </c>
    </row>
    <row r="335" spans="1:11" ht="15">
      <c r="A335" s="13">
        <v>51318</v>
      </c>
      <c r="B335" s="66">
        <f>5.2293 * CHOOSE(CONTROL!$C$23, $C$13, 100%, $E$13)</f>
        <v>5.2293000000000003</v>
      </c>
      <c r="C335" s="66">
        <f>5.2293 * CHOOSE(CONTROL!$C$23, $C$13, 100%, $E$13)</f>
        <v>5.2293000000000003</v>
      </c>
      <c r="D335" s="66">
        <f>5.2348 * CHOOSE(CONTROL!$C$23, $C$13, 100%, $E$13)</f>
        <v>5.2347999999999999</v>
      </c>
      <c r="E335" s="67">
        <f>6.4346 * CHOOSE(CONTROL!$C$23, $C$13, 100%, $E$13)</f>
        <v>6.4345999999999997</v>
      </c>
      <c r="F335" s="67">
        <f>6.4346 * CHOOSE(CONTROL!$C$23, $C$13, 100%, $E$13)</f>
        <v>6.4345999999999997</v>
      </c>
      <c r="G335" s="67">
        <f>6.4413 * CHOOSE(CONTROL!$C$23, $C$13, 100%, $E$13)</f>
        <v>6.4413</v>
      </c>
      <c r="H335" s="67">
        <f>11.436* CHOOSE(CONTROL!$C$23, $C$13, 100%, $E$13)</f>
        <v>11.436</v>
      </c>
      <c r="I335" s="67">
        <f>11.4427 * CHOOSE(CONTROL!$C$23, $C$13, 100%, $E$13)</f>
        <v>11.4427</v>
      </c>
      <c r="J335" s="67">
        <f>6.4346 * CHOOSE(CONTROL!$C$23, $C$13, 100%, $E$13)</f>
        <v>6.4345999999999997</v>
      </c>
      <c r="K335" s="67">
        <f>6.4413 * CHOOSE(CONTROL!$C$23, $C$13, 100%, $E$13)</f>
        <v>6.4413</v>
      </c>
    </row>
    <row r="336" spans="1:11" ht="15">
      <c r="A336" s="13">
        <v>51349</v>
      </c>
      <c r="B336" s="66">
        <f>5.236 * CHOOSE(CONTROL!$C$23, $C$13, 100%, $E$13)</f>
        <v>5.2359999999999998</v>
      </c>
      <c r="C336" s="66">
        <f>5.236 * CHOOSE(CONTROL!$C$23, $C$13, 100%, $E$13)</f>
        <v>5.2359999999999998</v>
      </c>
      <c r="D336" s="66">
        <f>5.2415 * CHOOSE(CONTROL!$C$23, $C$13, 100%, $E$13)</f>
        <v>5.2415000000000003</v>
      </c>
      <c r="E336" s="67">
        <f>6.3455 * CHOOSE(CONTROL!$C$23, $C$13, 100%, $E$13)</f>
        <v>6.3455000000000004</v>
      </c>
      <c r="F336" s="67">
        <f>6.3455 * CHOOSE(CONTROL!$C$23, $C$13, 100%, $E$13)</f>
        <v>6.3455000000000004</v>
      </c>
      <c r="G336" s="67">
        <f>6.3523 * CHOOSE(CONTROL!$C$23, $C$13, 100%, $E$13)</f>
        <v>6.3522999999999996</v>
      </c>
      <c r="H336" s="67">
        <f>11.4598* CHOOSE(CONTROL!$C$23, $C$13, 100%, $E$13)</f>
        <v>11.4598</v>
      </c>
      <c r="I336" s="67">
        <f>11.4665 * CHOOSE(CONTROL!$C$23, $C$13, 100%, $E$13)</f>
        <v>11.4665</v>
      </c>
      <c r="J336" s="67">
        <f>6.3455 * CHOOSE(CONTROL!$C$23, $C$13, 100%, $E$13)</f>
        <v>6.3455000000000004</v>
      </c>
      <c r="K336" s="67">
        <f>6.3523 * CHOOSE(CONTROL!$C$23, $C$13, 100%, $E$13)</f>
        <v>6.3522999999999996</v>
      </c>
    </row>
    <row r="337" spans="1:11" ht="15">
      <c r="A337" s="13">
        <v>51380</v>
      </c>
      <c r="B337" s="66">
        <f>5.233 * CHOOSE(CONTROL!$C$23, $C$13, 100%, $E$13)</f>
        <v>5.2329999999999997</v>
      </c>
      <c r="C337" s="66">
        <f>5.233 * CHOOSE(CONTROL!$C$23, $C$13, 100%, $E$13)</f>
        <v>5.2329999999999997</v>
      </c>
      <c r="D337" s="66">
        <f>5.2385 * CHOOSE(CONTROL!$C$23, $C$13, 100%, $E$13)</f>
        <v>5.2385000000000002</v>
      </c>
      <c r="E337" s="67">
        <f>6.333 * CHOOSE(CONTROL!$C$23, $C$13, 100%, $E$13)</f>
        <v>6.3330000000000002</v>
      </c>
      <c r="F337" s="67">
        <f>6.333 * CHOOSE(CONTROL!$C$23, $C$13, 100%, $E$13)</f>
        <v>6.3330000000000002</v>
      </c>
      <c r="G337" s="67">
        <f>6.3397 * CHOOSE(CONTROL!$C$23, $C$13, 100%, $E$13)</f>
        <v>6.3396999999999997</v>
      </c>
      <c r="H337" s="67">
        <f>11.4837* CHOOSE(CONTROL!$C$23, $C$13, 100%, $E$13)</f>
        <v>11.483700000000001</v>
      </c>
      <c r="I337" s="67">
        <f>11.4904 * CHOOSE(CONTROL!$C$23, $C$13, 100%, $E$13)</f>
        <v>11.490399999999999</v>
      </c>
      <c r="J337" s="67">
        <f>6.333 * CHOOSE(CONTROL!$C$23, $C$13, 100%, $E$13)</f>
        <v>6.3330000000000002</v>
      </c>
      <c r="K337" s="67">
        <f>6.3397 * CHOOSE(CONTROL!$C$23, $C$13, 100%, $E$13)</f>
        <v>6.3396999999999997</v>
      </c>
    </row>
    <row r="338" spans="1:11" ht="15">
      <c r="A338" s="13">
        <v>51410</v>
      </c>
      <c r="B338" s="66">
        <f>5.2321 * CHOOSE(CONTROL!$C$23, $C$13, 100%, $E$13)</f>
        <v>5.2321</v>
      </c>
      <c r="C338" s="66">
        <f>5.2321 * CHOOSE(CONTROL!$C$23, $C$13, 100%, $E$13)</f>
        <v>5.2321</v>
      </c>
      <c r="D338" s="66">
        <f>5.236 * CHOOSE(CONTROL!$C$23, $C$13, 100%, $E$13)</f>
        <v>5.2359999999999998</v>
      </c>
      <c r="E338" s="67">
        <f>6.3612 * CHOOSE(CONTROL!$C$23, $C$13, 100%, $E$13)</f>
        <v>6.3612000000000002</v>
      </c>
      <c r="F338" s="67">
        <f>6.3612 * CHOOSE(CONTROL!$C$23, $C$13, 100%, $E$13)</f>
        <v>6.3612000000000002</v>
      </c>
      <c r="G338" s="67">
        <f>6.366 * CHOOSE(CONTROL!$C$23, $C$13, 100%, $E$13)</f>
        <v>6.3659999999999997</v>
      </c>
      <c r="H338" s="67">
        <f>11.5076* CHOOSE(CONTROL!$C$23, $C$13, 100%, $E$13)</f>
        <v>11.5076</v>
      </c>
      <c r="I338" s="67">
        <f>11.5124 * CHOOSE(CONTROL!$C$23, $C$13, 100%, $E$13)</f>
        <v>11.5124</v>
      </c>
      <c r="J338" s="67">
        <f>6.3612 * CHOOSE(CONTROL!$C$23, $C$13, 100%, $E$13)</f>
        <v>6.3612000000000002</v>
      </c>
      <c r="K338" s="67">
        <f>6.366 * CHOOSE(CONTROL!$C$23, $C$13, 100%, $E$13)</f>
        <v>6.3659999999999997</v>
      </c>
    </row>
    <row r="339" spans="1:11" ht="15">
      <c r="A339" s="13">
        <v>51441</v>
      </c>
      <c r="B339" s="66">
        <f>5.2352 * CHOOSE(CONTROL!$C$23, $C$13, 100%, $E$13)</f>
        <v>5.2351999999999999</v>
      </c>
      <c r="C339" s="66">
        <f>5.2352 * CHOOSE(CONTROL!$C$23, $C$13, 100%, $E$13)</f>
        <v>5.2351999999999999</v>
      </c>
      <c r="D339" s="66">
        <f>5.239 * CHOOSE(CONTROL!$C$23, $C$13, 100%, $E$13)</f>
        <v>5.2389999999999999</v>
      </c>
      <c r="E339" s="67">
        <f>6.3842 * CHOOSE(CONTROL!$C$23, $C$13, 100%, $E$13)</f>
        <v>6.3841999999999999</v>
      </c>
      <c r="F339" s="67">
        <f>6.3842 * CHOOSE(CONTROL!$C$23, $C$13, 100%, $E$13)</f>
        <v>6.3841999999999999</v>
      </c>
      <c r="G339" s="67">
        <f>6.3889 * CHOOSE(CONTROL!$C$23, $C$13, 100%, $E$13)</f>
        <v>6.3888999999999996</v>
      </c>
      <c r="H339" s="67">
        <f>11.5316* CHOOSE(CONTROL!$C$23, $C$13, 100%, $E$13)</f>
        <v>11.531599999999999</v>
      </c>
      <c r="I339" s="67">
        <f>11.5363 * CHOOSE(CONTROL!$C$23, $C$13, 100%, $E$13)</f>
        <v>11.536300000000001</v>
      </c>
      <c r="J339" s="67">
        <f>6.3842 * CHOOSE(CONTROL!$C$23, $C$13, 100%, $E$13)</f>
        <v>6.3841999999999999</v>
      </c>
      <c r="K339" s="67">
        <f>6.3889 * CHOOSE(CONTROL!$C$23, $C$13, 100%, $E$13)</f>
        <v>6.3888999999999996</v>
      </c>
    </row>
    <row r="340" spans="1:11" ht="15">
      <c r="A340" s="13">
        <v>51471</v>
      </c>
      <c r="B340" s="66">
        <f>5.2352 * CHOOSE(CONTROL!$C$23, $C$13, 100%, $E$13)</f>
        <v>5.2351999999999999</v>
      </c>
      <c r="C340" s="66">
        <f>5.2352 * CHOOSE(CONTROL!$C$23, $C$13, 100%, $E$13)</f>
        <v>5.2351999999999999</v>
      </c>
      <c r="D340" s="66">
        <f>5.239 * CHOOSE(CONTROL!$C$23, $C$13, 100%, $E$13)</f>
        <v>5.2389999999999999</v>
      </c>
      <c r="E340" s="67">
        <f>6.3321 * CHOOSE(CONTROL!$C$23, $C$13, 100%, $E$13)</f>
        <v>6.3320999999999996</v>
      </c>
      <c r="F340" s="67">
        <f>6.3321 * CHOOSE(CONTROL!$C$23, $C$13, 100%, $E$13)</f>
        <v>6.3320999999999996</v>
      </c>
      <c r="G340" s="67">
        <f>6.3369 * CHOOSE(CONTROL!$C$23, $C$13, 100%, $E$13)</f>
        <v>6.3369</v>
      </c>
      <c r="H340" s="67">
        <f>11.5556* CHOOSE(CONTROL!$C$23, $C$13, 100%, $E$13)</f>
        <v>11.5556</v>
      </c>
      <c r="I340" s="67">
        <f>11.5604 * CHOOSE(CONTROL!$C$23, $C$13, 100%, $E$13)</f>
        <v>11.5604</v>
      </c>
      <c r="J340" s="67">
        <f>6.3321 * CHOOSE(CONTROL!$C$23, $C$13, 100%, $E$13)</f>
        <v>6.3320999999999996</v>
      </c>
      <c r="K340" s="67">
        <f>6.3369 * CHOOSE(CONTROL!$C$23, $C$13, 100%, $E$13)</f>
        <v>6.3369</v>
      </c>
    </row>
    <row r="341" spans="1:11" ht="15">
      <c r="A341" s="13">
        <v>51502</v>
      </c>
      <c r="B341" s="66">
        <f>5.2816 * CHOOSE(CONTROL!$C$23, $C$13, 100%, $E$13)</f>
        <v>5.2816000000000001</v>
      </c>
      <c r="C341" s="66">
        <f>5.2816 * CHOOSE(CONTROL!$C$23, $C$13, 100%, $E$13)</f>
        <v>5.2816000000000001</v>
      </c>
      <c r="D341" s="66">
        <f>5.2855 * CHOOSE(CONTROL!$C$23, $C$13, 100%, $E$13)</f>
        <v>5.2854999999999999</v>
      </c>
      <c r="E341" s="67">
        <f>6.4218 * CHOOSE(CONTROL!$C$23, $C$13, 100%, $E$13)</f>
        <v>6.4218000000000002</v>
      </c>
      <c r="F341" s="67">
        <f>6.4218 * CHOOSE(CONTROL!$C$23, $C$13, 100%, $E$13)</f>
        <v>6.4218000000000002</v>
      </c>
      <c r="G341" s="67">
        <f>6.4266 * CHOOSE(CONTROL!$C$23, $C$13, 100%, $E$13)</f>
        <v>6.4265999999999996</v>
      </c>
      <c r="H341" s="67">
        <f>11.5797* CHOOSE(CONTROL!$C$23, $C$13, 100%, $E$13)</f>
        <v>11.579700000000001</v>
      </c>
      <c r="I341" s="67">
        <f>11.5844 * CHOOSE(CONTROL!$C$23, $C$13, 100%, $E$13)</f>
        <v>11.5844</v>
      </c>
      <c r="J341" s="67">
        <f>6.4218 * CHOOSE(CONTROL!$C$23, $C$13, 100%, $E$13)</f>
        <v>6.4218000000000002</v>
      </c>
      <c r="K341" s="67">
        <f>6.4266 * CHOOSE(CONTROL!$C$23, $C$13, 100%, $E$13)</f>
        <v>6.4265999999999996</v>
      </c>
    </row>
    <row r="342" spans="1:11" ht="15">
      <c r="A342" s="13">
        <v>51533</v>
      </c>
      <c r="B342" s="66">
        <f>5.2786 * CHOOSE(CONTROL!$C$23, $C$13, 100%, $E$13)</f>
        <v>5.2786</v>
      </c>
      <c r="C342" s="66">
        <f>5.2786 * CHOOSE(CONTROL!$C$23, $C$13, 100%, $E$13)</f>
        <v>5.2786</v>
      </c>
      <c r="D342" s="66">
        <f>5.2824 * CHOOSE(CONTROL!$C$23, $C$13, 100%, $E$13)</f>
        <v>5.2824</v>
      </c>
      <c r="E342" s="67">
        <f>6.3185 * CHOOSE(CONTROL!$C$23, $C$13, 100%, $E$13)</f>
        <v>6.3185000000000002</v>
      </c>
      <c r="F342" s="67">
        <f>6.3185 * CHOOSE(CONTROL!$C$23, $C$13, 100%, $E$13)</f>
        <v>6.3185000000000002</v>
      </c>
      <c r="G342" s="67">
        <f>6.3233 * CHOOSE(CONTROL!$C$23, $C$13, 100%, $E$13)</f>
        <v>6.3232999999999997</v>
      </c>
      <c r="H342" s="67">
        <f>11.6038* CHOOSE(CONTROL!$C$23, $C$13, 100%, $E$13)</f>
        <v>11.6038</v>
      </c>
      <c r="I342" s="67">
        <f>11.6086 * CHOOSE(CONTROL!$C$23, $C$13, 100%, $E$13)</f>
        <v>11.608599999999999</v>
      </c>
      <c r="J342" s="67">
        <f>6.3185 * CHOOSE(CONTROL!$C$23, $C$13, 100%, $E$13)</f>
        <v>6.3185000000000002</v>
      </c>
      <c r="K342" s="67">
        <f>6.3233 * CHOOSE(CONTROL!$C$23, $C$13, 100%, $E$13)</f>
        <v>6.3232999999999997</v>
      </c>
    </row>
    <row r="343" spans="1:11" ht="15">
      <c r="A343" s="13">
        <v>51561</v>
      </c>
      <c r="B343" s="66">
        <f>5.2755 * CHOOSE(CONTROL!$C$23, $C$13, 100%, $E$13)</f>
        <v>5.2755000000000001</v>
      </c>
      <c r="C343" s="66">
        <f>5.2755 * CHOOSE(CONTROL!$C$23, $C$13, 100%, $E$13)</f>
        <v>5.2755000000000001</v>
      </c>
      <c r="D343" s="66">
        <f>5.2794 * CHOOSE(CONTROL!$C$23, $C$13, 100%, $E$13)</f>
        <v>5.2793999999999999</v>
      </c>
      <c r="E343" s="67">
        <f>6.3961 * CHOOSE(CONTROL!$C$23, $C$13, 100%, $E$13)</f>
        <v>6.3960999999999997</v>
      </c>
      <c r="F343" s="67">
        <f>6.3961 * CHOOSE(CONTROL!$C$23, $C$13, 100%, $E$13)</f>
        <v>6.3960999999999997</v>
      </c>
      <c r="G343" s="67">
        <f>6.4009 * CHOOSE(CONTROL!$C$23, $C$13, 100%, $E$13)</f>
        <v>6.4009</v>
      </c>
      <c r="H343" s="67">
        <f>11.628* CHOOSE(CONTROL!$C$23, $C$13, 100%, $E$13)</f>
        <v>11.628</v>
      </c>
      <c r="I343" s="67">
        <f>11.6327 * CHOOSE(CONTROL!$C$23, $C$13, 100%, $E$13)</f>
        <v>11.6327</v>
      </c>
      <c r="J343" s="67">
        <f>6.3961 * CHOOSE(CONTROL!$C$23, $C$13, 100%, $E$13)</f>
        <v>6.3960999999999997</v>
      </c>
      <c r="K343" s="67">
        <f>6.4009 * CHOOSE(CONTROL!$C$23, $C$13, 100%, $E$13)</f>
        <v>6.4009</v>
      </c>
    </row>
    <row r="344" spans="1:11" ht="15">
      <c r="A344" s="13">
        <v>51592</v>
      </c>
      <c r="B344" s="66">
        <f>5.2743 * CHOOSE(CONTROL!$C$23, $C$13, 100%, $E$13)</f>
        <v>5.2743000000000002</v>
      </c>
      <c r="C344" s="66">
        <f>5.2743 * CHOOSE(CONTROL!$C$23, $C$13, 100%, $E$13)</f>
        <v>5.2743000000000002</v>
      </c>
      <c r="D344" s="66">
        <f>5.2782 * CHOOSE(CONTROL!$C$23, $C$13, 100%, $E$13)</f>
        <v>5.2782</v>
      </c>
      <c r="E344" s="67">
        <f>6.4775 * CHOOSE(CONTROL!$C$23, $C$13, 100%, $E$13)</f>
        <v>6.4775</v>
      </c>
      <c r="F344" s="67">
        <f>6.4775 * CHOOSE(CONTROL!$C$23, $C$13, 100%, $E$13)</f>
        <v>6.4775</v>
      </c>
      <c r="G344" s="67">
        <f>6.4823 * CHOOSE(CONTROL!$C$23, $C$13, 100%, $E$13)</f>
        <v>6.4823000000000004</v>
      </c>
      <c r="H344" s="67">
        <f>11.6522* CHOOSE(CONTROL!$C$23, $C$13, 100%, $E$13)</f>
        <v>11.652200000000001</v>
      </c>
      <c r="I344" s="67">
        <f>11.657 * CHOOSE(CONTROL!$C$23, $C$13, 100%, $E$13)</f>
        <v>11.657</v>
      </c>
      <c r="J344" s="67">
        <f>6.4775 * CHOOSE(CONTROL!$C$23, $C$13, 100%, $E$13)</f>
        <v>6.4775</v>
      </c>
      <c r="K344" s="67">
        <f>6.4823 * CHOOSE(CONTROL!$C$23, $C$13, 100%, $E$13)</f>
        <v>6.4823000000000004</v>
      </c>
    </row>
    <row r="345" spans="1:11" ht="15">
      <c r="A345" s="13">
        <v>51622</v>
      </c>
      <c r="B345" s="66">
        <f>5.2743 * CHOOSE(CONTROL!$C$23, $C$13, 100%, $E$13)</f>
        <v>5.2743000000000002</v>
      </c>
      <c r="C345" s="66">
        <f>5.2743 * CHOOSE(CONTROL!$C$23, $C$13, 100%, $E$13)</f>
        <v>5.2743000000000002</v>
      </c>
      <c r="D345" s="66">
        <f>5.2798 * CHOOSE(CONTROL!$C$23, $C$13, 100%, $E$13)</f>
        <v>5.2797999999999998</v>
      </c>
      <c r="E345" s="67">
        <f>6.5097 * CHOOSE(CONTROL!$C$23, $C$13, 100%, $E$13)</f>
        <v>6.5096999999999996</v>
      </c>
      <c r="F345" s="67">
        <f>6.5097 * CHOOSE(CONTROL!$C$23, $C$13, 100%, $E$13)</f>
        <v>6.5096999999999996</v>
      </c>
      <c r="G345" s="67">
        <f>6.5164 * CHOOSE(CONTROL!$C$23, $C$13, 100%, $E$13)</f>
        <v>6.5164</v>
      </c>
      <c r="H345" s="67">
        <f>11.6765* CHOOSE(CONTROL!$C$23, $C$13, 100%, $E$13)</f>
        <v>11.676500000000001</v>
      </c>
      <c r="I345" s="67">
        <f>11.6832 * CHOOSE(CONTROL!$C$23, $C$13, 100%, $E$13)</f>
        <v>11.683199999999999</v>
      </c>
      <c r="J345" s="67">
        <f>6.5097 * CHOOSE(CONTROL!$C$23, $C$13, 100%, $E$13)</f>
        <v>6.5096999999999996</v>
      </c>
      <c r="K345" s="67">
        <f>6.5164 * CHOOSE(CONTROL!$C$23, $C$13, 100%, $E$13)</f>
        <v>6.5164</v>
      </c>
    </row>
    <row r="346" spans="1:11" ht="15">
      <c r="A346" s="13">
        <v>51653</v>
      </c>
      <c r="B346" s="66">
        <f>5.2804 * CHOOSE(CONTROL!$C$23, $C$13, 100%, $E$13)</f>
        <v>5.2804000000000002</v>
      </c>
      <c r="C346" s="66">
        <f>5.2804 * CHOOSE(CONTROL!$C$23, $C$13, 100%, $E$13)</f>
        <v>5.2804000000000002</v>
      </c>
      <c r="D346" s="66">
        <f>5.2859 * CHOOSE(CONTROL!$C$23, $C$13, 100%, $E$13)</f>
        <v>5.2858999999999998</v>
      </c>
      <c r="E346" s="67">
        <f>6.4818 * CHOOSE(CONTROL!$C$23, $C$13, 100%, $E$13)</f>
        <v>6.4817999999999998</v>
      </c>
      <c r="F346" s="67">
        <f>6.4818 * CHOOSE(CONTROL!$C$23, $C$13, 100%, $E$13)</f>
        <v>6.4817999999999998</v>
      </c>
      <c r="G346" s="67">
        <f>6.4885 * CHOOSE(CONTROL!$C$23, $C$13, 100%, $E$13)</f>
        <v>6.4885000000000002</v>
      </c>
      <c r="H346" s="67">
        <f>11.7008* CHOOSE(CONTROL!$C$23, $C$13, 100%, $E$13)</f>
        <v>11.700799999999999</v>
      </c>
      <c r="I346" s="67">
        <f>11.7075 * CHOOSE(CONTROL!$C$23, $C$13, 100%, $E$13)</f>
        <v>11.7075</v>
      </c>
      <c r="J346" s="67">
        <f>6.4818 * CHOOSE(CONTROL!$C$23, $C$13, 100%, $E$13)</f>
        <v>6.4817999999999998</v>
      </c>
      <c r="K346" s="67">
        <f>6.4885 * CHOOSE(CONTROL!$C$23, $C$13, 100%, $E$13)</f>
        <v>6.4885000000000002</v>
      </c>
    </row>
    <row r="347" spans="1:11" ht="15">
      <c r="A347" s="13">
        <v>51683</v>
      </c>
      <c r="B347" s="66">
        <f>5.3669 * CHOOSE(CONTROL!$C$23, $C$13, 100%, $E$13)</f>
        <v>5.3669000000000002</v>
      </c>
      <c r="C347" s="66">
        <f>5.3669 * CHOOSE(CONTROL!$C$23, $C$13, 100%, $E$13)</f>
        <v>5.3669000000000002</v>
      </c>
      <c r="D347" s="66">
        <f>5.3724 * CHOOSE(CONTROL!$C$23, $C$13, 100%, $E$13)</f>
        <v>5.3723999999999998</v>
      </c>
      <c r="E347" s="67">
        <f>6.5916 * CHOOSE(CONTROL!$C$23, $C$13, 100%, $E$13)</f>
        <v>6.5915999999999997</v>
      </c>
      <c r="F347" s="67">
        <f>6.5916 * CHOOSE(CONTROL!$C$23, $C$13, 100%, $E$13)</f>
        <v>6.5915999999999997</v>
      </c>
      <c r="G347" s="67">
        <f>6.5984 * CHOOSE(CONTROL!$C$23, $C$13, 100%, $E$13)</f>
        <v>6.5983999999999998</v>
      </c>
      <c r="H347" s="67">
        <f>11.7252* CHOOSE(CONTROL!$C$23, $C$13, 100%, $E$13)</f>
        <v>11.725199999999999</v>
      </c>
      <c r="I347" s="67">
        <f>11.7319 * CHOOSE(CONTROL!$C$23, $C$13, 100%, $E$13)</f>
        <v>11.7319</v>
      </c>
      <c r="J347" s="67">
        <f>6.5916 * CHOOSE(CONTROL!$C$23, $C$13, 100%, $E$13)</f>
        <v>6.5915999999999997</v>
      </c>
      <c r="K347" s="67">
        <f>6.5984 * CHOOSE(CONTROL!$C$23, $C$13, 100%, $E$13)</f>
        <v>6.5983999999999998</v>
      </c>
    </row>
    <row r="348" spans="1:11" ht="15">
      <c r="A348" s="13">
        <v>51714</v>
      </c>
      <c r="B348" s="66">
        <f>5.3736 * CHOOSE(CONTROL!$C$23, $C$13, 100%, $E$13)</f>
        <v>5.3735999999999997</v>
      </c>
      <c r="C348" s="66">
        <f>5.3736 * CHOOSE(CONTROL!$C$23, $C$13, 100%, $E$13)</f>
        <v>5.3735999999999997</v>
      </c>
      <c r="D348" s="66">
        <f>5.3791 * CHOOSE(CONTROL!$C$23, $C$13, 100%, $E$13)</f>
        <v>5.3791000000000002</v>
      </c>
      <c r="E348" s="67">
        <f>6.4999 * CHOOSE(CONTROL!$C$23, $C$13, 100%, $E$13)</f>
        <v>6.4999000000000002</v>
      </c>
      <c r="F348" s="67">
        <f>6.4999 * CHOOSE(CONTROL!$C$23, $C$13, 100%, $E$13)</f>
        <v>6.4999000000000002</v>
      </c>
      <c r="G348" s="67">
        <f>6.5067 * CHOOSE(CONTROL!$C$23, $C$13, 100%, $E$13)</f>
        <v>6.5067000000000004</v>
      </c>
      <c r="H348" s="67">
        <f>11.7496* CHOOSE(CONTROL!$C$23, $C$13, 100%, $E$13)</f>
        <v>11.749599999999999</v>
      </c>
      <c r="I348" s="67">
        <f>11.7563 * CHOOSE(CONTROL!$C$23, $C$13, 100%, $E$13)</f>
        <v>11.7563</v>
      </c>
      <c r="J348" s="67">
        <f>6.4999 * CHOOSE(CONTROL!$C$23, $C$13, 100%, $E$13)</f>
        <v>6.4999000000000002</v>
      </c>
      <c r="K348" s="67">
        <f>6.5067 * CHOOSE(CONTROL!$C$23, $C$13, 100%, $E$13)</f>
        <v>6.5067000000000004</v>
      </c>
    </row>
    <row r="349" spans="1:11" ht="15">
      <c r="A349" s="13">
        <v>51745</v>
      </c>
      <c r="B349" s="66">
        <f>5.3705 * CHOOSE(CONTROL!$C$23, $C$13, 100%, $E$13)</f>
        <v>5.3704999999999998</v>
      </c>
      <c r="C349" s="66">
        <f>5.3705 * CHOOSE(CONTROL!$C$23, $C$13, 100%, $E$13)</f>
        <v>5.3704999999999998</v>
      </c>
      <c r="D349" s="66">
        <f>5.376 * CHOOSE(CONTROL!$C$23, $C$13, 100%, $E$13)</f>
        <v>5.3760000000000003</v>
      </c>
      <c r="E349" s="67">
        <f>6.4871 * CHOOSE(CONTROL!$C$23, $C$13, 100%, $E$13)</f>
        <v>6.4870999999999999</v>
      </c>
      <c r="F349" s="67">
        <f>6.4871 * CHOOSE(CONTROL!$C$23, $C$13, 100%, $E$13)</f>
        <v>6.4870999999999999</v>
      </c>
      <c r="G349" s="67">
        <f>6.4938 * CHOOSE(CONTROL!$C$23, $C$13, 100%, $E$13)</f>
        <v>6.4938000000000002</v>
      </c>
      <c r="H349" s="67">
        <f>11.7741* CHOOSE(CONTROL!$C$23, $C$13, 100%, $E$13)</f>
        <v>11.774100000000001</v>
      </c>
      <c r="I349" s="67">
        <f>11.7808 * CHOOSE(CONTROL!$C$23, $C$13, 100%, $E$13)</f>
        <v>11.780799999999999</v>
      </c>
      <c r="J349" s="67">
        <f>6.4871 * CHOOSE(CONTROL!$C$23, $C$13, 100%, $E$13)</f>
        <v>6.4870999999999999</v>
      </c>
      <c r="K349" s="67">
        <f>6.4938 * CHOOSE(CONTROL!$C$23, $C$13, 100%, $E$13)</f>
        <v>6.4938000000000002</v>
      </c>
    </row>
    <row r="350" spans="1:11" ht="15">
      <c r="A350" s="13">
        <v>51775</v>
      </c>
      <c r="B350" s="66">
        <f>5.3701 * CHOOSE(CONTROL!$C$23, $C$13, 100%, $E$13)</f>
        <v>5.3700999999999999</v>
      </c>
      <c r="C350" s="66">
        <f>5.3701 * CHOOSE(CONTROL!$C$23, $C$13, 100%, $E$13)</f>
        <v>5.3700999999999999</v>
      </c>
      <c r="D350" s="66">
        <f>5.374 * CHOOSE(CONTROL!$C$23, $C$13, 100%, $E$13)</f>
        <v>5.3739999999999997</v>
      </c>
      <c r="E350" s="67">
        <f>6.5165 * CHOOSE(CONTROL!$C$23, $C$13, 100%, $E$13)</f>
        <v>6.5164999999999997</v>
      </c>
      <c r="F350" s="67">
        <f>6.5165 * CHOOSE(CONTROL!$C$23, $C$13, 100%, $E$13)</f>
        <v>6.5164999999999997</v>
      </c>
      <c r="G350" s="67">
        <f>6.5213 * CHOOSE(CONTROL!$C$23, $C$13, 100%, $E$13)</f>
        <v>6.5213000000000001</v>
      </c>
      <c r="H350" s="67">
        <f>11.7986* CHOOSE(CONTROL!$C$23, $C$13, 100%, $E$13)</f>
        <v>11.7986</v>
      </c>
      <c r="I350" s="67">
        <f>11.8034 * CHOOSE(CONTROL!$C$23, $C$13, 100%, $E$13)</f>
        <v>11.8034</v>
      </c>
      <c r="J350" s="67">
        <f>6.5165 * CHOOSE(CONTROL!$C$23, $C$13, 100%, $E$13)</f>
        <v>6.5164999999999997</v>
      </c>
      <c r="K350" s="67">
        <f>6.5213 * CHOOSE(CONTROL!$C$23, $C$13, 100%, $E$13)</f>
        <v>6.5213000000000001</v>
      </c>
    </row>
    <row r="351" spans="1:11" ht="15">
      <c r="A351" s="13">
        <v>51806</v>
      </c>
      <c r="B351" s="66">
        <f>5.3732 * CHOOSE(CONTROL!$C$23, $C$13, 100%, $E$13)</f>
        <v>5.3731999999999998</v>
      </c>
      <c r="C351" s="66">
        <f>5.3732 * CHOOSE(CONTROL!$C$23, $C$13, 100%, $E$13)</f>
        <v>5.3731999999999998</v>
      </c>
      <c r="D351" s="66">
        <f>5.377 * CHOOSE(CONTROL!$C$23, $C$13, 100%, $E$13)</f>
        <v>5.3769999999999998</v>
      </c>
      <c r="E351" s="67">
        <f>6.54 * CHOOSE(CONTROL!$C$23, $C$13, 100%, $E$13)</f>
        <v>6.54</v>
      </c>
      <c r="F351" s="67">
        <f>6.54 * CHOOSE(CONTROL!$C$23, $C$13, 100%, $E$13)</f>
        <v>6.54</v>
      </c>
      <c r="G351" s="67">
        <f>6.5448 * CHOOSE(CONTROL!$C$23, $C$13, 100%, $E$13)</f>
        <v>6.5448000000000004</v>
      </c>
      <c r="H351" s="67">
        <f>11.8232* CHOOSE(CONTROL!$C$23, $C$13, 100%, $E$13)</f>
        <v>11.8232</v>
      </c>
      <c r="I351" s="67">
        <f>11.8279 * CHOOSE(CONTROL!$C$23, $C$13, 100%, $E$13)</f>
        <v>11.8279</v>
      </c>
      <c r="J351" s="67">
        <f>6.54 * CHOOSE(CONTROL!$C$23, $C$13, 100%, $E$13)</f>
        <v>6.54</v>
      </c>
      <c r="K351" s="67">
        <f>6.5448 * CHOOSE(CONTROL!$C$23, $C$13, 100%, $E$13)</f>
        <v>6.5448000000000004</v>
      </c>
    </row>
    <row r="352" spans="1:11" ht="15">
      <c r="A352" s="13">
        <v>51836</v>
      </c>
      <c r="B352" s="66">
        <f>5.3732 * CHOOSE(CONTROL!$C$23, $C$13, 100%, $E$13)</f>
        <v>5.3731999999999998</v>
      </c>
      <c r="C352" s="66">
        <f>5.3732 * CHOOSE(CONTROL!$C$23, $C$13, 100%, $E$13)</f>
        <v>5.3731999999999998</v>
      </c>
      <c r="D352" s="66">
        <f>5.377 * CHOOSE(CONTROL!$C$23, $C$13, 100%, $E$13)</f>
        <v>5.3769999999999998</v>
      </c>
      <c r="E352" s="67">
        <f>6.4865 * CHOOSE(CONTROL!$C$23, $C$13, 100%, $E$13)</f>
        <v>6.4865000000000004</v>
      </c>
      <c r="F352" s="67">
        <f>6.4865 * CHOOSE(CONTROL!$C$23, $C$13, 100%, $E$13)</f>
        <v>6.4865000000000004</v>
      </c>
      <c r="G352" s="67">
        <f>6.4913 * CHOOSE(CONTROL!$C$23, $C$13, 100%, $E$13)</f>
        <v>6.4912999999999998</v>
      </c>
      <c r="H352" s="67">
        <f>11.8478* CHOOSE(CONTROL!$C$23, $C$13, 100%, $E$13)</f>
        <v>11.847799999999999</v>
      </c>
      <c r="I352" s="67">
        <f>11.8526 * CHOOSE(CONTROL!$C$23, $C$13, 100%, $E$13)</f>
        <v>11.852600000000001</v>
      </c>
      <c r="J352" s="67">
        <f>6.4865 * CHOOSE(CONTROL!$C$23, $C$13, 100%, $E$13)</f>
        <v>6.4865000000000004</v>
      </c>
      <c r="K352" s="67">
        <f>6.4913 * CHOOSE(CONTROL!$C$23, $C$13, 100%, $E$13)</f>
        <v>6.4912999999999998</v>
      </c>
    </row>
    <row r="353" spans="1:11" ht="15">
      <c r="A353" s="13">
        <v>51867</v>
      </c>
      <c r="B353" s="66">
        <f>5.4207 * CHOOSE(CONTROL!$C$23, $C$13, 100%, $E$13)</f>
        <v>5.4207000000000001</v>
      </c>
      <c r="C353" s="66">
        <f>5.4207 * CHOOSE(CONTROL!$C$23, $C$13, 100%, $E$13)</f>
        <v>5.4207000000000001</v>
      </c>
      <c r="D353" s="66">
        <f>5.4246 * CHOOSE(CONTROL!$C$23, $C$13, 100%, $E$13)</f>
        <v>5.4245999999999999</v>
      </c>
      <c r="E353" s="67">
        <f>6.5785 * CHOOSE(CONTROL!$C$23, $C$13, 100%, $E$13)</f>
        <v>6.5785</v>
      </c>
      <c r="F353" s="67">
        <f>6.5785 * CHOOSE(CONTROL!$C$23, $C$13, 100%, $E$13)</f>
        <v>6.5785</v>
      </c>
      <c r="G353" s="67">
        <f>6.5833 * CHOOSE(CONTROL!$C$23, $C$13, 100%, $E$13)</f>
        <v>6.5833000000000004</v>
      </c>
      <c r="H353" s="67">
        <f>11.8725* CHOOSE(CONTROL!$C$23, $C$13, 100%, $E$13)</f>
        <v>11.8725</v>
      </c>
      <c r="I353" s="67">
        <f>11.8773 * CHOOSE(CONTROL!$C$23, $C$13, 100%, $E$13)</f>
        <v>11.8773</v>
      </c>
      <c r="J353" s="67">
        <f>6.5785 * CHOOSE(CONTROL!$C$23, $C$13, 100%, $E$13)</f>
        <v>6.5785</v>
      </c>
      <c r="K353" s="67">
        <f>6.5833 * CHOOSE(CONTROL!$C$23, $C$13, 100%, $E$13)</f>
        <v>6.5833000000000004</v>
      </c>
    </row>
    <row r="354" spans="1:11" ht="15">
      <c r="A354" s="13">
        <v>51898</v>
      </c>
      <c r="B354" s="66">
        <f>5.4177 * CHOOSE(CONTROL!$C$23, $C$13, 100%, $E$13)</f>
        <v>5.4177</v>
      </c>
      <c r="C354" s="66">
        <f>5.4177 * CHOOSE(CONTROL!$C$23, $C$13, 100%, $E$13)</f>
        <v>5.4177</v>
      </c>
      <c r="D354" s="66">
        <f>5.4216 * CHOOSE(CONTROL!$C$23, $C$13, 100%, $E$13)</f>
        <v>5.4215999999999998</v>
      </c>
      <c r="E354" s="67">
        <f>6.4724 * CHOOSE(CONTROL!$C$23, $C$13, 100%, $E$13)</f>
        <v>6.4724000000000004</v>
      </c>
      <c r="F354" s="67">
        <f>6.4724 * CHOOSE(CONTROL!$C$23, $C$13, 100%, $E$13)</f>
        <v>6.4724000000000004</v>
      </c>
      <c r="G354" s="67">
        <f>6.4772 * CHOOSE(CONTROL!$C$23, $C$13, 100%, $E$13)</f>
        <v>6.4771999999999998</v>
      </c>
      <c r="H354" s="67">
        <f>11.8972* CHOOSE(CONTROL!$C$23, $C$13, 100%, $E$13)</f>
        <v>11.8972</v>
      </c>
      <c r="I354" s="67">
        <f>11.902 * CHOOSE(CONTROL!$C$23, $C$13, 100%, $E$13)</f>
        <v>11.901999999999999</v>
      </c>
      <c r="J354" s="67">
        <f>6.4724 * CHOOSE(CONTROL!$C$23, $C$13, 100%, $E$13)</f>
        <v>6.4724000000000004</v>
      </c>
      <c r="K354" s="67">
        <f>6.4772 * CHOOSE(CONTROL!$C$23, $C$13, 100%, $E$13)</f>
        <v>6.4771999999999998</v>
      </c>
    </row>
    <row r="355" spans="1:11" ht="15">
      <c r="A355" s="13">
        <v>51926</v>
      </c>
      <c r="B355" s="66">
        <f>5.4147 * CHOOSE(CONTROL!$C$23, $C$13, 100%, $E$13)</f>
        <v>5.4146999999999998</v>
      </c>
      <c r="C355" s="66">
        <f>5.4147 * CHOOSE(CONTROL!$C$23, $C$13, 100%, $E$13)</f>
        <v>5.4146999999999998</v>
      </c>
      <c r="D355" s="66">
        <f>5.4185 * CHOOSE(CONTROL!$C$23, $C$13, 100%, $E$13)</f>
        <v>5.4184999999999999</v>
      </c>
      <c r="E355" s="67">
        <f>6.5523 * CHOOSE(CONTROL!$C$23, $C$13, 100%, $E$13)</f>
        <v>6.5522999999999998</v>
      </c>
      <c r="F355" s="67">
        <f>6.5523 * CHOOSE(CONTROL!$C$23, $C$13, 100%, $E$13)</f>
        <v>6.5522999999999998</v>
      </c>
      <c r="G355" s="67">
        <f>6.557 * CHOOSE(CONTROL!$C$23, $C$13, 100%, $E$13)</f>
        <v>6.5570000000000004</v>
      </c>
      <c r="H355" s="67">
        <f>11.922* CHOOSE(CONTROL!$C$23, $C$13, 100%, $E$13)</f>
        <v>11.922000000000001</v>
      </c>
      <c r="I355" s="67">
        <f>11.9268 * CHOOSE(CONTROL!$C$23, $C$13, 100%, $E$13)</f>
        <v>11.9268</v>
      </c>
      <c r="J355" s="67">
        <f>6.5523 * CHOOSE(CONTROL!$C$23, $C$13, 100%, $E$13)</f>
        <v>6.5522999999999998</v>
      </c>
      <c r="K355" s="67">
        <f>6.557 * CHOOSE(CONTROL!$C$23, $C$13, 100%, $E$13)</f>
        <v>6.5570000000000004</v>
      </c>
    </row>
    <row r="356" spans="1:11" ht="15">
      <c r="A356" s="13">
        <v>51957</v>
      </c>
      <c r="B356" s="66">
        <f>5.4135 * CHOOSE(CONTROL!$C$23, $C$13, 100%, $E$13)</f>
        <v>5.4135</v>
      </c>
      <c r="C356" s="66">
        <f>5.4135 * CHOOSE(CONTROL!$C$23, $C$13, 100%, $E$13)</f>
        <v>5.4135</v>
      </c>
      <c r="D356" s="66">
        <f>5.4174 * CHOOSE(CONTROL!$C$23, $C$13, 100%, $E$13)</f>
        <v>5.4173999999999998</v>
      </c>
      <c r="E356" s="67">
        <f>6.6361 * CHOOSE(CONTROL!$C$23, $C$13, 100%, $E$13)</f>
        <v>6.6360999999999999</v>
      </c>
      <c r="F356" s="67">
        <f>6.6361 * CHOOSE(CONTROL!$C$23, $C$13, 100%, $E$13)</f>
        <v>6.6360999999999999</v>
      </c>
      <c r="G356" s="67">
        <f>6.6408 * CHOOSE(CONTROL!$C$23, $C$13, 100%, $E$13)</f>
        <v>6.6407999999999996</v>
      </c>
      <c r="H356" s="67">
        <f>11.9469* CHOOSE(CONTROL!$C$23, $C$13, 100%, $E$13)</f>
        <v>11.946899999999999</v>
      </c>
      <c r="I356" s="67">
        <f>11.9516 * CHOOSE(CONTROL!$C$23, $C$13, 100%, $E$13)</f>
        <v>11.951599999999999</v>
      </c>
      <c r="J356" s="67">
        <f>6.6361 * CHOOSE(CONTROL!$C$23, $C$13, 100%, $E$13)</f>
        <v>6.6360999999999999</v>
      </c>
      <c r="K356" s="67">
        <f>6.6408 * CHOOSE(CONTROL!$C$23, $C$13, 100%, $E$13)</f>
        <v>6.6407999999999996</v>
      </c>
    </row>
    <row r="357" spans="1:11" ht="15">
      <c r="A357" s="13">
        <v>51987</v>
      </c>
      <c r="B357" s="66">
        <f>5.4135 * CHOOSE(CONTROL!$C$23, $C$13, 100%, $E$13)</f>
        <v>5.4135</v>
      </c>
      <c r="C357" s="66">
        <f>5.4135 * CHOOSE(CONTROL!$C$23, $C$13, 100%, $E$13)</f>
        <v>5.4135</v>
      </c>
      <c r="D357" s="66">
        <f>5.419 * CHOOSE(CONTROL!$C$23, $C$13, 100%, $E$13)</f>
        <v>5.4189999999999996</v>
      </c>
      <c r="E357" s="67">
        <f>6.6691 * CHOOSE(CONTROL!$C$23, $C$13, 100%, $E$13)</f>
        <v>6.6691000000000003</v>
      </c>
      <c r="F357" s="67">
        <f>6.6691 * CHOOSE(CONTROL!$C$23, $C$13, 100%, $E$13)</f>
        <v>6.6691000000000003</v>
      </c>
      <c r="G357" s="67">
        <f>6.6758 * CHOOSE(CONTROL!$C$23, $C$13, 100%, $E$13)</f>
        <v>6.6757999999999997</v>
      </c>
      <c r="H357" s="67">
        <f>11.9717* CHOOSE(CONTROL!$C$23, $C$13, 100%, $E$13)</f>
        <v>11.9717</v>
      </c>
      <c r="I357" s="67">
        <f>11.9785 * CHOOSE(CONTROL!$C$23, $C$13, 100%, $E$13)</f>
        <v>11.9785</v>
      </c>
      <c r="J357" s="67">
        <f>6.6691 * CHOOSE(CONTROL!$C$23, $C$13, 100%, $E$13)</f>
        <v>6.6691000000000003</v>
      </c>
      <c r="K357" s="67">
        <f>6.6758 * CHOOSE(CONTROL!$C$23, $C$13, 100%, $E$13)</f>
        <v>6.6757999999999997</v>
      </c>
    </row>
    <row r="358" spans="1:11" ht="15">
      <c r="A358" s="13">
        <v>52018</v>
      </c>
      <c r="B358" s="66">
        <f>5.4196 * CHOOSE(CONTROL!$C$23, $C$13, 100%, $E$13)</f>
        <v>5.4196</v>
      </c>
      <c r="C358" s="66">
        <f>5.4196 * CHOOSE(CONTROL!$C$23, $C$13, 100%, $E$13)</f>
        <v>5.4196</v>
      </c>
      <c r="D358" s="66">
        <f>5.4251 * CHOOSE(CONTROL!$C$23, $C$13, 100%, $E$13)</f>
        <v>5.4250999999999996</v>
      </c>
      <c r="E358" s="67">
        <f>6.6403 * CHOOSE(CONTROL!$C$23, $C$13, 100%, $E$13)</f>
        <v>6.6402999999999999</v>
      </c>
      <c r="F358" s="67">
        <f>6.6403 * CHOOSE(CONTROL!$C$23, $C$13, 100%, $E$13)</f>
        <v>6.6402999999999999</v>
      </c>
      <c r="G358" s="67">
        <f>6.6471 * CHOOSE(CONTROL!$C$23, $C$13, 100%, $E$13)</f>
        <v>6.6471</v>
      </c>
      <c r="H358" s="67">
        <f>11.9967* CHOOSE(CONTROL!$C$23, $C$13, 100%, $E$13)</f>
        <v>11.996700000000001</v>
      </c>
      <c r="I358" s="67">
        <f>12.0034 * CHOOSE(CONTROL!$C$23, $C$13, 100%, $E$13)</f>
        <v>12.003399999999999</v>
      </c>
      <c r="J358" s="67">
        <f>6.6403 * CHOOSE(CONTROL!$C$23, $C$13, 100%, $E$13)</f>
        <v>6.6402999999999999</v>
      </c>
      <c r="K358" s="67">
        <f>6.6471 * CHOOSE(CONTROL!$C$23, $C$13, 100%, $E$13)</f>
        <v>6.6471</v>
      </c>
    </row>
    <row r="359" spans="1:11" ht="15">
      <c r="A359" s="13">
        <v>52048</v>
      </c>
      <c r="B359" s="66">
        <f>5.5082 * CHOOSE(CONTROL!$C$23, $C$13, 100%, $E$13)</f>
        <v>5.5082000000000004</v>
      </c>
      <c r="C359" s="66">
        <f>5.5082 * CHOOSE(CONTROL!$C$23, $C$13, 100%, $E$13)</f>
        <v>5.5082000000000004</v>
      </c>
      <c r="D359" s="66">
        <f>5.5137 * CHOOSE(CONTROL!$C$23, $C$13, 100%, $E$13)</f>
        <v>5.5137</v>
      </c>
      <c r="E359" s="67">
        <f>6.7527 * CHOOSE(CONTROL!$C$23, $C$13, 100%, $E$13)</f>
        <v>6.7526999999999999</v>
      </c>
      <c r="F359" s="67">
        <f>6.7527 * CHOOSE(CONTROL!$C$23, $C$13, 100%, $E$13)</f>
        <v>6.7526999999999999</v>
      </c>
      <c r="G359" s="67">
        <f>6.7595 * CHOOSE(CONTROL!$C$23, $C$13, 100%, $E$13)</f>
        <v>6.7595000000000001</v>
      </c>
      <c r="H359" s="67">
        <f>12.0217* CHOOSE(CONTROL!$C$23, $C$13, 100%, $E$13)</f>
        <v>12.021699999999999</v>
      </c>
      <c r="I359" s="67">
        <f>12.0284 * CHOOSE(CONTROL!$C$23, $C$13, 100%, $E$13)</f>
        <v>12.0284</v>
      </c>
      <c r="J359" s="67">
        <f>6.7527 * CHOOSE(CONTROL!$C$23, $C$13, 100%, $E$13)</f>
        <v>6.7526999999999999</v>
      </c>
      <c r="K359" s="67">
        <f>6.7595 * CHOOSE(CONTROL!$C$23, $C$13, 100%, $E$13)</f>
        <v>6.7595000000000001</v>
      </c>
    </row>
    <row r="360" spans="1:11" ht="15">
      <c r="A360" s="13">
        <v>52079</v>
      </c>
      <c r="B360" s="66">
        <f>5.5149 * CHOOSE(CONTROL!$C$23, $C$13, 100%, $E$13)</f>
        <v>5.5148999999999999</v>
      </c>
      <c r="C360" s="66">
        <f>5.5149 * CHOOSE(CONTROL!$C$23, $C$13, 100%, $E$13)</f>
        <v>5.5148999999999999</v>
      </c>
      <c r="D360" s="66">
        <f>5.5204 * CHOOSE(CONTROL!$C$23, $C$13, 100%, $E$13)</f>
        <v>5.5204000000000004</v>
      </c>
      <c r="E360" s="67">
        <f>6.6583 * CHOOSE(CONTROL!$C$23, $C$13, 100%, $E$13)</f>
        <v>6.6582999999999997</v>
      </c>
      <c r="F360" s="67">
        <f>6.6583 * CHOOSE(CONTROL!$C$23, $C$13, 100%, $E$13)</f>
        <v>6.6582999999999997</v>
      </c>
      <c r="G360" s="67">
        <f>6.6651 * CHOOSE(CONTROL!$C$23, $C$13, 100%, $E$13)</f>
        <v>6.6650999999999998</v>
      </c>
      <c r="H360" s="67">
        <f>12.0467* CHOOSE(CONTROL!$C$23, $C$13, 100%, $E$13)</f>
        <v>12.0467</v>
      </c>
      <c r="I360" s="67">
        <f>12.0535 * CHOOSE(CONTROL!$C$23, $C$13, 100%, $E$13)</f>
        <v>12.0535</v>
      </c>
      <c r="J360" s="67">
        <f>6.6583 * CHOOSE(CONTROL!$C$23, $C$13, 100%, $E$13)</f>
        <v>6.6582999999999997</v>
      </c>
      <c r="K360" s="67">
        <f>6.6651 * CHOOSE(CONTROL!$C$23, $C$13, 100%, $E$13)</f>
        <v>6.6650999999999998</v>
      </c>
    </row>
    <row r="361" spans="1:11" ht="15">
      <c r="A361" s="13">
        <v>52110</v>
      </c>
      <c r="B361" s="66">
        <f>5.5119 * CHOOSE(CONTROL!$C$23, $C$13, 100%, $E$13)</f>
        <v>5.5118999999999998</v>
      </c>
      <c r="C361" s="66">
        <f>5.5119 * CHOOSE(CONTROL!$C$23, $C$13, 100%, $E$13)</f>
        <v>5.5118999999999998</v>
      </c>
      <c r="D361" s="66">
        <f>5.5174 * CHOOSE(CONTROL!$C$23, $C$13, 100%, $E$13)</f>
        <v>5.5174000000000003</v>
      </c>
      <c r="E361" s="67">
        <f>6.6452 * CHOOSE(CONTROL!$C$23, $C$13, 100%, $E$13)</f>
        <v>6.6452</v>
      </c>
      <c r="F361" s="67">
        <f>6.6452 * CHOOSE(CONTROL!$C$23, $C$13, 100%, $E$13)</f>
        <v>6.6452</v>
      </c>
      <c r="G361" s="67">
        <f>6.6519 * CHOOSE(CONTROL!$C$23, $C$13, 100%, $E$13)</f>
        <v>6.6519000000000004</v>
      </c>
      <c r="H361" s="67">
        <f>12.0718* CHOOSE(CONTROL!$C$23, $C$13, 100%, $E$13)</f>
        <v>12.0718</v>
      </c>
      <c r="I361" s="67">
        <f>12.0786 * CHOOSE(CONTROL!$C$23, $C$13, 100%, $E$13)</f>
        <v>12.0786</v>
      </c>
      <c r="J361" s="67">
        <f>6.6452 * CHOOSE(CONTROL!$C$23, $C$13, 100%, $E$13)</f>
        <v>6.6452</v>
      </c>
      <c r="K361" s="67">
        <f>6.6519 * CHOOSE(CONTROL!$C$23, $C$13, 100%, $E$13)</f>
        <v>6.6519000000000004</v>
      </c>
    </row>
    <row r="362" spans="1:11" ht="15">
      <c r="A362" s="13">
        <v>52140</v>
      </c>
      <c r="B362" s="66">
        <f>5.5119 * CHOOSE(CONTROL!$C$23, $C$13, 100%, $E$13)</f>
        <v>5.5118999999999998</v>
      </c>
      <c r="C362" s="66">
        <f>5.5119 * CHOOSE(CONTROL!$C$23, $C$13, 100%, $E$13)</f>
        <v>5.5118999999999998</v>
      </c>
      <c r="D362" s="66">
        <f>5.5158 * CHOOSE(CONTROL!$C$23, $C$13, 100%, $E$13)</f>
        <v>5.5157999999999996</v>
      </c>
      <c r="E362" s="67">
        <f>6.6758 * CHOOSE(CONTROL!$C$23, $C$13, 100%, $E$13)</f>
        <v>6.6757999999999997</v>
      </c>
      <c r="F362" s="67">
        <f>6.6758 * CHOOSE(CONTROL!$C$23, $C$13, 100%, $E$13)</f>
        <v>6.6757999999999997</v>
      </c>
      <c r="G362" s="67">
        <f>6.6806 * CHOOSE(CONTROL!$C$23, $C$13, 100%, $E$13)</f>
        <v>6.6806000000000001</v>
      </c>
      <c r="H362" s="67">
        <f>12.097* CHOOSE(CONTROL!$C$23, $C$13, 100%, $E$13)</f>
        <v>12.097</v>
      </c>
      <c r="I362" s="67">
        <f>12.1017 * CHOOSE(CONTROL!$C$23, $C$13, 100%, $E$13)</f>
        <v>12.101699999999999</v>
      </c>
      <c r="J362" s="67">
        <f>6.6758 * CHOOSE(CONTROL!$C$23, $C$13, 100%, $E$13)</f>
        <v>6.6757999999999997</v>
      </c>
      <c r="K362" s="67">
        <f>6.6806 * CHOOSE(CONTROL!$C$23, $C$13, 100%, $E$13)</f>
        <v>6.6806000000000001</v>
      </c>
    </row>
    <row r="363" spans="1:11" ht="15">
      <c r="A363" s="13">
        <v>52171</v>
      </c>
      <c r="B363" s="66">
        <f>5.515 * CHOOSE(CONTROL!$C$23, $C$13, 100%, $E$13)</f>
        <v>5.5149999999999997</v>
      </c>
      <c r="C363" s="66">
        <f>5.515 * CHOOSE(CONTROL!$C$23, $C$13, 100%, $E$13)</f>
        <v>5.5149999999999997</v>
      </c>
      <c r="D363" s="66">
        <f>5.5188 * CHOOSE(CONTROL!$C$23, $C$13, 100%, $E$13)</f>
        <v>5.5187999999999997</v>
      </c>
      <c r="E363" s="67">
        <f>6.6999 * CHOOSE(CONTROL!$C$23, $C$13, 100%, $E$13)</f>
        <v>6.6999000000000004</v>
      </c>
      <c r="F363" s="67">
        <f>6.6999 * CHOOSE(CONTROL!$C$23, $C$13, 100%, $E$13)</f>
        <v>6.6999000000000004</v>
      </c>
      <c r="G363" s="67">
        <f>6.7047 * CHOOSE(CONTROL!$C$23, $C$13, 100%, $E$13)</f>
        <v>6.7046999999999999</v>
      </c>
      <c r="H363" s="67">
        <f>12.1222* CHOOSE(CONTROL!$C$23, $C$13, 100%, $E$13)</f>
        <v>12.122199999999999</v>
      </c>
      <c r="I363" s="67">
        <f>12.1269 * CHOOSE(CONTROL!$C$23, $C$13, 100%, $E$13)</f>
        <v>12.126899999999999</v>
      </c>
      <c r="J363" s="67">
        <f>6.6999 * CHOOSE(CONTROL!$C$23, $C$13, 100%, $E$13)</f>
        <v>6.6999000000000004</v>
      </c>
      <c r="K363" s="67">
        <f>6.7047 * CHOOSE(CONTROL!$C$23, $C$13, 100%, $E$13)</f>
        <v>6.7046999999999999</v>
      </c>
    </row>
    <row r="364" spans="1:11" ht="15">
      <c r="A364" s="13">
        <v>52201</v>
      </c>
      <c r="B364" s="66">
        <f>5.515 * CHOOSE(CONTROL!$C$23, $C$13, 100%, $E$13)</f>
        <v>5.5149999999999997</v>
      </c>
      <c r="C364" s="66">
        <f>5.515 * CHOOSE(CONTROL!$C$23, $C$13, 100%, $E$13)</f>
        <v>5.5149999999999997</v>
      </c>
      <c r="D364" s="66">
        <f>5.5188 * CHOOSE(CONTROL!$C$23, $C$13, 100%, $E$13)</f>
        <v>5.5187999999999997</v>
      </c>
      <c r="E364" s="67">
        <f>6.6449 * CHOOSE(CONTROL!$C$23, $C$13, 100%, $E$13)</f>
        <v>6.6448999999999998</v>
      </c>
      <c r="F364" s="67">
        <f>6.6449 * CHOOSE(CONTROL!$C$23, $C$13, 100%, $E$13)</f>
        <v>6.6448999999999998</v>
      </c>
      <c r="G364" s="67">
        <f>6.6497 * CHOOSE(CONTROL!$C$23, $C$13, 100%, $E$13)</f>
        <v>6.6497000000000002</v>
      </c>
      <c r="H364" s="67">
        <f>12.1474* CHOOSE(CONTROL!$C$23, $C$13, 100%, $E$13)</f>
        <v>12.147399999999999</v>
      </c>
      <c r="I364" s="67">
        <f>12.1522 * CHOOSE(CONTROL!$C$23, $C$13, 100%, $E$13)</f>
        <v>12.152200000000001</v>
      </c>
      <c r="J364" s="67">
        <f>6.6449 * CHOOSE(CONTROL!$C$23, $C$13, 100%, $E$13)</f>
        <v>6.6448999999999998</v>
      </c>
      <c r="K364" s="67">
        <f>6.6497 * CHOOSE(CONTROL!$C$23, $C$13, 100%, $E$13)</f>
        <v>6.6497000000000002</v>
      </c>
    </row>
    <row r="365" spans="1:11" ht="15">
      <c r="A365" s="13">
        <v>52232</v>
      </c>
      <c r="B365" s="66">
        <f>5.5637 * CHOOSE(CONTROL!$C$23, $C$13, 100%, $E$13)</f>
        <v>5.5636999999999999</v>
      </c>
      <c r="C365" s="66">
        <f>5.5637 * CHOOSE(CONTROL!$C$23, $C$13, 100%, $E$13)</f>
        <v>5.5636999999999999</v>
      </c>
      <c r="D365" s="66">
        <f>5.5675 * CHOOSE(CONTROL!$C$23, $C$13, 100%, $E$13)</f>
        <v>5.5674999999999999</v>
      </c>
      <c r="E365" s="67">
        <f>6.7392 * CHOOSE(CONTROL!$C$23, $C$13, 100%, $E$13)</f>
        <v>6.7392000000000003</v>
      </c>
      <c r="F365" s="67">
        <f>6.7392 * CHOOSE(CONTROL!$C$23, $C$13, 100%, $E$13)</f>
        <v>6.7392000000000003</v>
      </c>
      <c r="G365" s="67">
        <f>6.744 * CHOOSE(CONTROL!$C$23, $C$13, 100%, $E$13)</f>
        <v>6.7439999999999998</v>
      </c>
      <c r="H365" s="67">
        <f>12.1727* CHOOSE(CONTROL!$C$23, $C$13, 100%, $E$13)</f>
        <v>12.172700000000001</v>
      </c>
      <c r="I365" s="67">
        <f>12.1775 * CHOOSE(CONTROL!$C$23, $C$13, 100%, $E$13)</f>
        <v>12.1775</v>
      </c>
      <c r="J365" s="67">
        <f>6.7392 * CHOOSE(CONTROL!$C$23, $C$13, 100%, $E$13)</f>
        <v>6.7392000000000003</v>
      </c>
      <c r="K365" s="67">
        <f>6.744 * CHOOSE(CONTROL!$C$23, $C$13, 100%, $E$13)</f>
        <v>6.7439999999999998</v>
      </c>
    </row>
    <row r="366" spans="1:11" ht="15">
      <c r="A366" s="13">
        <v>52263</v>
      </c>
      <c r="B366" s="66">
        <f>5.5606 * CHOOSE(CONTROL!$C$23, $C$13, 100%, $E$13)</f>
        <v>5.5606</v>
      </c>
      <c r="C366" s="66">
        <f>5.5606 * CHOOSE(CONTROL!$C$23, $C$13, 100%, $E$13)</f>
        <v>5.5606</v>
      </c>
      <c r="D366" s="66">
        <f>5.5645 * CHOOSE(CONTROL!$C$23, $C$13, 100%, $E$13)</f>
        <v>5.5644999999999998</v>
      </c>
      <c r="E366" s="67">
        <f>6.6302 * CHOOSE(CONTROL!$C$23, $C$13, 100%, $E$13)</f>
        <v>6.6302000000000003</v>
      </c>
      <c r="F366" s="67">
        <f>6.6302 * CHOOSE(CONTROL!$C$23, $C$13, 100%, $E$13)</f>
        <v>6.6302000000000003</v>
      </c>
      <c r="G366" s="67">
        <f>6.6349 * CHOOSE(CONTROL!$C$23, $C$13, 100%, $E$13)</f>
        <v>6.6349</v>
      </c>
      <c r="H366" s="67">
        <f>12.1981* CHOOSE(CONTROL!$C$23, $C$13, 100%, $E$13)</f>
        <v>12.1981</v>
      </c>
      <c r="I366" s="67">
        <f>12.2029 * CHOOSE(CONTROL!$C$23, $C$13, 100%, $E$13)</f>
        <v>12.2029</v>
      </c>
      <c r="J366" s="67">
        <f>6.6302 * CHOOSE(CONTROL!$C$23, $C$13, 100%, $E$13)</f>
        <v>6.6302000000000003</v>
      </c>
      <c r="K366" s="67">
        <f>6.6349 * CHOOSE(CONTROL!$C$23, $C$13, 100%, $E$13)</f>
        <v>6.6349</v>
      </c>
    </row>
    <row r="367" spans="1:11" ht="15">
      <c r="A367" s="13">
        <v>52291</v>
      </c>
      <c r="B367" s="66">
        <f>5.5576 * CHOOSE(CONTROL!$C$23, $C$13, 100%, $E$13)</f>
        <v>5.5575999999999999</v>
      </c>
      <c r="C367" s="66">
        <f>5.5576 * CHOOSE(CONTROL!$C$23, $C$13, 100%, $E$13)</f>
        <v>5.5575999999999999</v>
      </c>
      <c r="D367" s="66">
        <f>5.5614 * CHOOSE(CONTROL!$C$23, $C$13, 100%, $E$13)</f>
        <v>5.5613999999999999</v>
      </c>
      <c r="E367" s="67">
        <f>6.7123 * CHOOSE(CONTROL!$C$23, $C$13, 100%, $E$13)</f>
        <v>6.7122999999999999</v>
      </c>
      <c r="F367" s="67">
        <f>6.7123 * CHOOSE(CONTROL!$C$23, $C$13, 100%, $E$13)</f>
        <v>6.7122999999999999</v>
      </c>
      <c r="G367" s="67">
        <f>6.7171 * CHOOSE(CONTROL!$C$23, $C$13, 100%, $E$13)</f>
        <v>6.7171000000000003</v>
      </c>
      <c r="H367" s="67">
        <f>12.2235* CHOOSE(CONTROL!$C$23, $C$13, 100%, $E$13)</f>
        <v>12.2235</v>
      </c>
      <c r="I367" s="67">
        <f>12.2283 * CHOOSE(CONTROL!$C$23, $C$13, 100%, $E$13)</f>
        <v>12.228300000000001</v>
      </c>
      <c r="J367" s="67">
        <f>6.7123 * CHOOSE(CONTROL!$C$23, $C$13, 100%, $E$13)</f>
        <v>6.7122999999999999</v>
      </c>
      <c r="K367" s="67">
        <f>6.7171 * CHOOSE(CONTROL!$C$23, $C$13, 100%, $E$13)</f>
        <v>6.7171000000000003</v>
      </c>
    </row>
    <row r="368" spans="1:11" ht="15">
      <c r="A368" s="13">
        <v>52322</v>
      </c>
      <c r="B368" s="66">
        <f>5.5566 * CHOOSE(CONTROL!$C$23, $C$13, 100%, $E$13)</f>
        <v>5.5566000000000004</v>
      </c>
      <c r="C368" s="66">
        <f>5.5566 * CHOOSE(CONTROL!$C$23, $C$13, 100%, $E$13)</f>
        <v>5.5566000000000004</v>
      </c>
      <c r="D368" s="66">
        <f>5.5604 * CHOOSE(CONTROL!$C$23, $C$13, 100%, $E$13)</f>
        <v>5.5603999999999996</v>
      </c>
      <c r="E368" s="67">
        <f>6.7986 * CHOOSE(CONTROL!$C$23, $C$13, 100%, $E$13)</f>
        <v>6.7986000000000004</v>
      </c>
      <c r="F368" s="67">
        <f>6.7986 * CHOOSE(CONTROL!$C$23, $C$13, 100%, $E$13)</f>
        <v>6.7986000000000004</v>
      </c>
      <c r="G368" s="67">
        <f>6.8034 * CHOOSE(CONTROL!$C$23, $C$13, 100%, $E$13)</f>
        <v>6.8033999999999999</v>
      </c>
      <c r="H368" s="67">
        <f>12.249* CHOOSE(CONTROL!$C$23, $C$13, 100%, $E$13)</f>
        <v>12.249000000000001</v>
      </c>
      <c r="I368" s="67">
        <f>12.2537 * CHOOSE(CONTROL!$C$23, $C$13, 100%, $E$13)</f>
        <v>12.2537</v>
      </c>
      <c r="J368" s="67">
        <f>6.7986 * CHOOSE(CONTROL!$C$23, $C$13, 100%, $E$13)</f>
        <v>6.7986000000000004</v>
      </c>
      <c r="K368" s="67">
        <f>6.8034 * CHOOSE(CONTROL!$C$23, $C$13, 100%, $E$13)</f>
        <v>6.8033999999999999</v>
      </c>
    </row>
    <row r="369" spans="1:11" ht="15">
      <c r="A369" s="13">
        <v>52352</v>
      </c>
      <c r="B369" s="66">
        <f>5.5566 * CHOOSE(CONTROL!$C$23, $C$13, 100%, $E$13)</f>
        <v>5.5566000000000004</v>
      </c>
      <c r="C369" s="66">
        <f>5.5566 * CHOOSE(CONTROL!$C$23, $C$13, 100%, $E$13)</f>
        <v>5.5566000000000004</v>
      </c>
      <c r="D369" s="66">
        <f>5.5621 * CHOOSE(CONTROL!$C$23, $C$13, 100%, $E$13)</f>
        <v>5.5621</v>
      </c>
      <c r="E369" s="67">
        <f>6.8326 * CHOOSE(CONTROL!$C$23, $C$13, 100%, $E$13)</f>
        <v>6.8326000000000002</v>
      </c>
      <c r="F369" s="67">
        <f>6.8326 * CHOOSE(CONTROL!$C$23, $C$13, 100%, $E$13)</f>
        <v>6.8326000000000002</v>
      </c>
      <c r="G369" s="67">
        <f>6.8393 * CHOOSE(CONTROL!$C$23, $C$13, 100%, $E$13)</f>
        <v>6.8392999999999997</v>
      </c>
      <c r="H369" s="67">
        <f>12.2745* CHOOSE(CONTROL!$C$23, $C$13, 100%, $E$13)</f>
        <v>12.2745</v>
      </c>
      <c r="I369" s="67">
        <f>12.2812 * CHOOSE(CONTROL!$C$23, $C$13, 100%, $E$13)</f>
        <v>12.2812</v>
      </c>
      <c r="J369" s="67">
        <f>6.8326 * CHOOSE(CONTROL!$C$23, $C$13, 100%, $E$13)</f>
        <v>6.8326000000000002</v>
      </c>
      <c r="K369" s="67">
        <f>6.8393 * CHOOSE(CONTROL!$C$23, $C$13, 100%, $E$13)</f>
        <v>6.8392999999999997</v>
      </c>
    </row>
    <row r="370" spans="1:11" ht="15">
      <c r="A370" s="13">
        <v>52383</v>
      </c>
      <c r="B370" s="66">
        <f>5.5627 * CHOOSE(CONTROL!$C$23, $C$13, 100%, $E$13)</f>
        <v>5.5627000000000004</v>
      </c>
      <c r="C370" s="66">
        <f>5.5627 * CHOOSE(CONTROL!$C$23, $C$13, 100%, $E$13)</f>
        <v>5.5627000000000004</v>
      </c>
      <c r="D370" s="66">
        <f>5.5682 * CHOOSE(CONTROL!$C$23, $C$13, 100%, $E$13)</f>
        <v>5.5682</v>
      </c>
      <c r="E370" s="67">
        <f>6.8029 * CHOOSE(CONTROL!$C$23, $C$13, 100%, $E$13)</f>
        <v>6.8029000000000002</v>
      </c>
      <c r="F370" s="67">
        <f>6.8029 * CHOOSE(CONTROL!$C$23, $C$13, 100%, $E$13)</f>
        <v>6.8029000000000002</v>
      </c>
      <c r="G370" s="67">
        <f>6.8096 * CHOOSE(CONTROL!$C$23, $C$13, 100%, $E$13)</f>
        <v>6.8095999999999997</v>
      </c>
      <c r="H370" s="67">
        <f>12.3001* CHOOSE(CONTROL!$C$23, $C$13, 100%, $E$13)</f>
        <v>12.3001</v>
      </c>
      <c r="I370" s="67">
        <f>12.3068 * CHOOSE(CONTROL!$C$23, $C$13, 100%, $E$13)</f>
        <v>12.306800000000001</v>
      </c>
      <c r="J370" s="67">
        <f>6.8029 * CHOOSE(CONTROL!$C$23, $C$13, 100%, $E$13)</f>
        <v>6.8029000000000002</v>
      </c>
      <c r="K370" s="67">
        <f>6.8096 * CHOOSE(CONTROL!$C$23, $C$13, 100%, $E$13)</f>
        <v>6.8095999999999997</v>
      </c>
    </row>
    <row r="371" spans="1:11" ht="15">
      <c r="A371" s="13">
        <v>52413</v>
      </c>
      <c r="B371" s="66">
        <f>5.6532 * CHOOSE(CONTROL!$C$23, $C$13, 100%, $E$13)</f>
        <v>5.6532</v>
      </c>
      <c r="C371" s="66">
        <f>5.6532 * CHOOSE(CONTROL!$C$23, $C$13, 100%, $E$13)</f>
        <v>5.6532</v>
      </c>
      <c r="D371" s="66">
        <f>5.6587 * CHOOSE(CONTROL!$C$23, $C$13, 100%, $E$13)</f>
        <v>5.6586999999999996</v>
      </c>
      <c r="E371" s="67">
        <f>6.9177 * CHOOSE(CONTROL!$C$23, $C$13, 100%, $E$13)</f>
        <v>6.9177</v>
      </c>
      <c r="F371" s="67">
        <f>6.9177 * CHOOSE(CONTROL!$C$23, $C$13, 100%, $E$13)</f>
        <v>6.9177</v>
      </c>
      <c r="G371" s="67">
        <f>6.9244 * CHOOSE(CONTROL!$C$23, $C$13, 100%, $E$13)</f>
        <v>6.9244000000000003</v>
      </c>
      <c r="H371" s="67">
        <f>12.3257* CHOOSE(CONTROL!$C$23, $C$13, 100%, $E$13)</f>
        <v>12.325699999999999</v>
      </c>
      <c r="I371" s="67">
        <f>12.3324 * CHOOSE(CONTROL!$C$23, $C$13, 100%, $E$13)</f>
        <v>12.3324</v>
      </c>
      <c r="J371" s="67">
        <f>6.9177 * CHOOSE(CONTROL!$C$23, $C$13, 100%, $E$13)</f>
        <v>6.9177</v>
      </c>
      <c r="K371" s="67">
        <f>6.9244 * CHOOSE(CONTROL!$C$23, $C$13, 100%, $E$13)</f>
        <v>6.9244000000000003</v>
      </c>
    </row>
    <row r="372" spans="1:11" ht="15">
      <c r="A372" s="13">
        <v>52444</v>
      </c>
      <c r="B372" s="66">
        <f>5.6599 * CHOOSE(CONTROL!$C$23, $C$13, 100%, $E$13)</f>
        <v>5.6599000000000004</v>
      </c>
      <c r="C372" s="66">
        <f>5.6599 * CHOOSE(CONTROL!$C$23, $C$13, 100%, $E$13)</f>
        <v>5.6599000000000004</v>
      </c>
      <c r="D372" s="66">
        <f>5.6654 * CHOOSE(CONTROL!$C$23, $C$13, 100%, $E$13)</f>
        <v>5.6654</v>
      </c>
      <c r="E372" s="67">
        <f>6.8205 * CHOOSE(CONTROL!$C$23, $C$13, 100%, $E$13)</f>
        <v>6.8205</v>
      </c>
      <c r="F372" s="67">
        <f>6.8205 * CHOOSE(CONTROL!$C$23, $C$13, 100%, $E$13)</f>
        <v>6.8205</v>
      </c>
      <c r="G372" s="67">
        <f>6.8272 * CHOOSE(CONTROL!$C$23, $C$13, 100%, $E$13)</f>
        <v>6.8272000000000004</v>
      </c>
      <c r="H372" s="67">
        <f>12.3514* CHOOSE(CONTROL!$C$23, $C$13, 100%, $E$13)</f>
        <v>12.3514</v>
      </c>
      <c r="I372" s="67">
        <f>12.3581 * CHOOSE(CONTROL!$C$23, $C$13, 100%, $E$13)</f>
        <v>12.3581</v>
      </c>
      <c r="J372" s="67">
        <f>6.8205 * CHOOSE(CONTROL!$C$23, $C$13, 100%, $E$13)</f>
        <v>6.8205</v>
      </c>
      <c r="K372" s="67">
        <f>6.8272 * CHOOSE(CONTROL!$C$23, $C$13, 100%, $E$13)</f>
        <v>6.8272000000000004</v>
      </c>
    </row>
    <row r="373" spans="1:11" ht="15">
      <c r="A373" s="13">
        <v>52475</v>
      </c>
      <c r="B373" s="66">
        <f>5.6569 * CHOOSE(CONTROL!$C$23, $C$13, 100%, $E$13)</f>
        <v>5.6569000000000003</v>
      </c>
      <c r="C373" s="66">
        <f>5.6569 * CHOOSE(CONTROL!$C$23, $C$13, 100%, $E$13)</f>
        <v>5.6569000000000003</v>
      </c>
      <c r="D373" s="66">
        <f>5.6624 * CHOOSE(CONTROL!$C$23, $C$13, 100%, $E$13)</f>
        <v>5.6623999999999999</v>
      </c>
      <c r="E373" s="67">
        <f>6.8071 * CHOOSE(CONTROL!$C$23, $C$13, 100%, $E$13)</f>
        <v>6.8071000000000002</v>
      </c>
      <c r="F373" s="67">
        <f>6.8071 * CHOOSE(CONTROL!$C$23, $C$13, 100%, $E$13)</f>
        <v>6.8071000000000002</v>
      </c>
      <c r="G373" s="67">
        <f>6.8138 * CHOOSE(CONTROL!$C$23, $C$13, 100%, $E$13)</f>
        <v>6.8137999999999996</v>
      </c>
      <c r="H373" s="67">
        <f>12.3771* CHOOSE(CONTROL!$C$23, $C$13, 100%, $E$13)</f>
        <v>12.3771</v>
      </c>
      <c r="I373" s="67">
        <f>12.3838 * CHOOSE(CONTROL!$C$23, $C$13, 100%, $E$13)</f>
        <v>12.383800000000001</v>
      </c>
      <c r="J373" s="67">
        <f>6.8071 * CHOOSE(CONTROL!$C$23, $C$13, 100%, $E$13)</f>
        <v>6.8071000000000002</v>
      </c>
      <c r="K373" s="67">
        <f>6.8138 * CHOOSE(CONTROL!$C$23, $C$13, 100%, $E$13)</f>
        <v>6.8137999999999996</v>
      </c>
    </row>
    <row r="374" spans="1:11" ht="15">
      <c r="A374" s="13">
        <v>52505</v>
      </c>
      <c r="B374" s="66">
        <f>5.6574 * CHOOSE(CONTROL!$C$23, $C$13, 100%, $E$13)</f>
        <v>5.6574</v>
      </c>
      <c r="C374" s="66">
        <f>5.6574 * CHOOSE(CONTROL!$C$23, $C$13, 100%, $E$13)</f>
        <v>5.6574</v>
      </c>
      <c r="D374" s="66">
        <f>5.6613 * CHOOSE(CONTROL!$C$23, $C$13, 100%, $E$13)</f>
        <v>5.6612999999999998</v>
      </c>
      <c r="E374" s="67">
        <f>6.8389 * CHOOSE(CONTROL!$C$23, $C$13, 100%, $E$13)</f>
        <v>6.8388999999999998</v>
      </c>
      <c r="F374" s="67">
        <f>6.8389 * CHOOSE(CONTROL!$C$23, $C$13, 100%, $E$13)</f>
        <v>6.8388999999999998</v>
      </c>
      <c r="G374" s="67">
        <f>6.8437 * CHOOSE(CONTROL!$C$23, $C$13, 100%, $E$13)</f>
        <v>6.8437000000000001</v>
      </c>
      <c r="H374" s="67">
        <f>12.4029* CHOOSE(CONTROL!$C$23, $C$13, 100%, $E$13)</f>
        <v>12.402900000000001</v>
      </c>
      <c r="I374" s="67">
        <f>12.4076 * CHOOSE(CONTROL!$C$23, $C$13, 100%, $E$13)</f>
        <v>12.4076</v>
      </c>
      <c r="J374" s="67">
        <f>6.8389 * CHOOSE(CONTROL!$C$23, $C$13, 100%, $E$13)</f>
        <v>6.8388999999999998</v>
      </c>
      <c r="K374" s="67">
        <f>6.8437 * CHOOSE(CONTROL!$C$23, $C$13, 100%, $E$13)</f>
        <v>6.8437000000000001</v>
      </c>
    </row>
    <row r="375" spans="1:11" ht="15">
      <c r="A375" s="13">
        <v>52536</v>
      </c>
      <c r="B375" s="66">
        <f>5.6605 * CHOOSE(CONTROL!$C$23, $C$13, 100%, $E$13)</f>
        <v>5.6604999999999999</v>
      </c>
      <c r="C375" s="66">
        <f>5.6605 * CHOOSE(CONTROL!$C$23, $C$13, 100%, $E$13)</f>
        <v>5.6604999999999999</v>
      </c>
      <c r="D375" s="66">
        <f>5.6643 * CHOOSE(CONTROL!$C$23, $C$13, 100%, $E$13)</f>
        <v>5.6642999999999999</v>
      </c>
      <c r="E375" s="67">
        <f>6.8636 * CHOOSE(CONTROL!$C$23, $C$13, 100%, $E$13)</f>
        <v>6.8635999999999999</v>
      </c>
      <c r="F375" s="67">
        <f>6.8636 * CHOOSE(CONTROL!$C$23, $C$13, 100%, $E$13)</f>
        <v>6.8635999999999999</v>
      </c>
      <c r="G375" s="67">
        <f>6.8684 * CHOOSE(CONTROL!$C$23, $C$13, 100%, $E$13)</f>
        <v>6.8684000000000003</v>
      </c>
      <c r="H375" s="67">
        <f>12.4287* CHOOSE(CONTROL!$C$23, $C$13, 100%, $E$13)</f>
        <v>12.428699999999999</v>
      </c>
      <c r="I375" s="67">
        <f>12.4335 * CHOOSE(CONTROL!$C$23, $C$13, 100%, $E$13)</f>
        <v>12.4335</v>
      </c>
      <c r="J375" s="67">
        <f>6.8636 * CHOOSE(CONTROL!$C$23, $C$13, 100%, $E$13)</f>
        <v>6.8635999999999999</v>
      </c>
      <c r="K375" s="67">
        <f>6.8684 * CHOOSE(CONTROL!$C$23, $C$13, 100%, $E$13)</f>
        <v>6.8684000000000003</v>
      </c>
    </row>
    <row r="376" spans="1:11" ht="15">
      <c r="A376" s="13">
        <v>52566</v>
      </c>
      <c r="B376" s="66">
        <f>5.6605 * CHOOSE(CONTROL!$C$23, $C$13, 100%, $E$13)</f>
        <v>5.6604999999999999</v>
      </c>
      <c r="C376" s="66">
        <f>5.6605 * CHOOSE(CONTROL!$C$23, $C$13, 100%, $E$13)</f>
        <v>5.6604999999999999</v>
      </c>
      <c r="D376" s="66">
        <f>5.6643 * CHOOSE(CONTROL!$C$23, $C$13, 100%, $E$13)</f>
        <v>5.6642999999999999</v>
      </c>
      <c r="E376" s="67">
        <f>6.8071 * CHOOSE(CONTROL!$C$23, $C$13, 100%, $E$13)</f>
        <v>6.8071000000000002</v>
      </c>
      <c r="F376" s="67">
        <f>6.8071 * CHOOSE(CONTROL!$C$23, $C$13, 100%, $E$13)</f>
        <v>6.8071000000000002</v>
      </c>
      <c r="G376" s="67">
        <f>6.8118 * CHOOSE(CONTROL!$C$23, $C$13, 100%, $E$13)</f>
        <v>6.8117999999999999</v>
      </c>
      <c r="H376" s="67">
        <f>12.4546* CHOOSE(CONTROL!$C$23, $C$13, 100%, $E$13)</f>
        <v>12.454599999999999</v>
      </c>
      <c r="I376" s="67">
        <f>12.4594 * CHOOSE(CONTROL!$C$23, $C$13, 100%, $E$13)</f>
        <v>12.4594</v>
      </c>
      <c r="J376" s="67">
        <f>6.8071 * CHOOSE(CONTROL!$C$23, $C$13, 100%, $E$13)</f>
        <v>6.8071000000000002</v>
      </c>
      <c r="K376" s="67">
        <f>6.8118 * CHOOSE(CONTROL!$C$23, $C$13, 100%, $E$13)</f>
        <v>6.8117999999999999</v>
      </c>
    </row>
    <row r="377" spans="1:11" ht="15">
      <c r="A377" s="13">
        <v>52597</v>
      </c>
      <c r="B377" s="66">
        <f>5.7103 * CHOOSE(CONTROL!$C$23, $C$13, 100%, $E$13)</f>
        <v>5.7103000000000002</v>
      </c>
      <c r="C377" s="66">
        <f>5.7103 * CHOOSE(CONTROL!$C$23, $C$13, 100%, $E$13)</f>
        <v>5.7103000000000002</v>
      </c>
      <c r="D377" s="66">
        <f>5.7142 * CHOOSE(CONTROL!$C$23, $C$13, 100%, $E$13)</f>
        <v>5.7141999999999999</v>
      </c>
      <c r="E377" s="67">
        <f>6.9038 * CHOOSE(CONTROL!$C$23, $C$13, 100%, $E$13)</f>
        <v>6.9038000000000004</v>
      </c>
      <c r="F377" s="67">
        <f>6.9038 * CHOOSE(CONTROL!$C$23, $C$13, 100%, $E$13)</f>
        <v>6.9038000000000004</v>
      </c>
      <c r="G377" s="67">
        <f>6.9085 * CHOOSE(CONTROL!$C$23, $C$13, 100%, $E$13)</f>
        <v>6.9085000000000001</v>
      </c>
      <c r="H377" s="67">
        <f>12.4806* CHOOSE(CONTROL!$C$23, $C$13, 100%, $E$13)</f>
        <v>12.480600000000001</v>
      </c>
      <c r="I377" s="67">
        <f>12.4853 * CHOOSE(CONTROL!$C$23, $C$13, 100%, $E$13)</f>
        <v>12.485300000000001</v>
      </c>
      <c r="J377" s="67">
        <f>6.9038 * CHOOSE(CONTROL!$C$23, $C$13, 100%, $E$13)</f>
        <v>6.9038000000000004</v>
      </c>
      <c r="K377" s="67">
        <f>6.9085 * CHOOSE(CONTROL!$C$23, $C$13, 100%, $E$13)</f>
        <v>6.9085000000000001</v>
      </c>
    </row>
    <row r="378" spans="1:11" ht="15">
      <c r="A378" s="13">
        <v>52628</v>
      </c>
      <c r="B378" s="66">
        <f>5.7073 * CHOOSE(CONTROL!$C$23, $C$13, 100%, $E$13)</f>
        <v>5.7073</v>
      </c>
      <c r="C378" s="66">
        <f>5.7073 * CHOOSE(CONTROL!$C$23, $C$13, 100%, $E$13)</f>
        <v>5.7073</v>
      </c>
      <c r="D378" s="66">
        <f>5.7111 * CHOOSE(CONTROL!$C$23, $C$13, 100%, $E$13)</f>
        <v>5.7111000000000001</v>
      </c>
      <c r="E378" s="67">
        <f>6.7917 * CHOOSE(CONTROL!$C$23, $C$13, 100%, $E$13)</f>
        <v>6.7916999999999996</v>
      </c>
      <c r="F378" s="67">
        <f>6.7917 * CHOOSE(CONTROL!$C$23, $C$13, 100%, $E$13)</f>
        <v>6.7916999999999996</v>
      </c>
      <c r="G378" s="67">
        <f>6.7965 * CHOOSE(CONTROL!$C$23, $C$13, 100%, $E$13)</f>
        <v>6.7965</v>
      </c>
      <c r="H378" s="67">
        <f>12.5066* CHOOSE(CONTROL!$C$23, $C$13, 100%, $E$13)</f>
        <v>12.506600000000001</v>
      </c>
      <c r="I378" s="67">
        <f>12.5113 * CHOOSE(CONTROL!$C$23, $C$13, 100%, $E$13)</f>
        <v>12.5113</v>
      </c>
      <c r="J378" s="67">
        <f>6.7917 * CHOOSE(CONTROL!$C$23, $C$13, 100%, $E$13)</f>
        <v>6.7916999999999996</v>
      </c>
      <c r="K378" s="67">
        <f>6.7965 * CHOOSE(CONTROL!$C$23, $C$13, 100%, $E$13)</f>
        <v>6.7965</v>
      </c>
    </row>
    <row r="379" spans="1:11" ht="15">
      <c r="A379" s="13">
        <v>52657</v>
      </c>
      <c r="B379" s="66">
        <f>5.7042 * CHOOSE(CONTROL!$C$23, $C$13, 100%, $E$13)</f>
        <v>5.7042000000000002</v>
      </c>
      <c r="C379" s="66">
        <f>5.7042 * CHOOSE(CONTROL!$C$23, $C$13, 100%, $E$13)</f>
        <v>5.7042000000000002</v>
      </c>
      <c r="D379" s="66">
        <f>5.7081 * CHOOSE(CONTROL!$C$23, $C$13, 100%, $E$13)</f>
        <v>5.7081</v>
      </c>
      <c r="E379" s="67">
        <f>6.8763 * CHOOSE(CONTROL!$C$23, $C$13, 100%, $E$13)</f>
        <v>6.8762999999999996</v>
      </c>
      <c r="F379" s="67">
        <f>6.8763 * CHOOSE(CONTROL!$C$23, $C$13, 100%, $E$13)</f>
        <v>6.8762999999999996</v>
      </c>
      <c r="G379" s="67">
        <f>6.881 * CHOOSE(CONTROL!$C$23, $C$13, 100%, $E$13)</f>
        <v>6.8810000000000002</v>
      </c>
      <c r="H379" s="67">
        <f>12.5326* CHOOSE(CONTROL!$C$23, $C$13, 100%, $E$13)</f>
        <v>12.5326</v>
      </c>
      <c r="I379" s="67">
        <f>12.5374 * CHOOSE(CONTROL!$C$23, $C$13, 100%, $E$13)</f>
        <v>12.5374</v>
      </c>
      <c r="J379" s="67">
        <f>6.8763 * CHOOSE(CONTROL!$C$23, $C$13, 100%, $E$13)</f>
        <v>6.8762999999999996</v>
      </c>
      <c r="K379" s="67">
        <f>6.881 * CHOOSE(CONTROL!$C$23, $C$13, 100%, $E$13)</f>
        <v>6.8810000000000002</v>
      </c>
    </row>
    <row r="380" spans="1:11" ht="15">
      <c r="A380" s="13">
        <v>52688</v>
      </c>
      <c r="B380" s="66">
        <f>5.7034 * CHOOSE(CONTROL!$C$23, $C$13, 100%, $E$13)</f>
        <v>5.7034000000000002</v>
      </c>
      <c r="C380" s="66">
        <f>5.7034 * CHOOSE(CONTROL!$C$23, $C$13, 100%, $E$13)</f>
        <v>5.7034000000000002</v>
      </c>
      <c r="D380" s="66">
        <f>5.7072 * CHOOSE(CONTROL!$C$23, $C$13, 100%, $E$13)</f>
        <v>5.7072000000000003</v>
      </c>
      <c r="E380" s="67">
        <f>6.9651 * CHOOSE(CONTROL!$C$23, $C$13, 100%, $E$13)</f>
        <v>6.9650999999999996</v>
      </c>
      <c r="F380" s="67">
        <f>6.9651 * CHOOSE(CONTROL!$C$23, $C$13, 100%, $E$13)</f>
        <v>6.9650999999999996</v>
      </c>
      <c r="G380" s="67">
        <f>6.9699 * CHOOSE(CONTROL!$C$23, $C$13, 100%, $E$13)</f>
        <v>6.9699</v>
      </c>
      <c r="H380" s="67">
        <f>12.5587* CHOOSE(CONTROL!$C$23, $C$13, 100%, $E$13)</f>
        <v>12.5587</v>
      </c>
      <c r="I380" s="67">
        <f>12.5635 * CHOOSE(CONTROL!$C$23, $C$13, 100%, $E$13)</f>
        <v>12.563499999999999</v>
      </c>
      <c r="J380" s="67">
        <f>6.9651 * CHOOSE(CONTROL!$C$23, $C$13, 100%, $E$13)</f>
        <v>6.9650999999999996</v>
      </c>
      <c r="K380" s="67">
        <f>6.9699 * CHOOSE(CONTROL!$C$23, $C$13, 100%, $E$13)</f>
        <v>6.9699</v>
      </c>
    </row>
    <row r="381" spans="1:11" ht="15">
      <c r="A381" s="13">
        <v>52718</v>
      </c>
      <c r="B381" s="66">
        <f>5.7034 * CHOOSE(CONTROL!$C$23, $C$13, 100%, $E$13)</f>
        <v>5.7034000000000002</v>
      </c>
      <c r="C381" s="66">
        <f>5.7034 * CHOOSE(CONTROL!$C$23, $C$13, 100%, $E$13)</f>
        <v>5.7034000000000002</v>
      </c>
      <c r="D381" s="66">
        <f>5.7089 * CHOOSE(CONTROL!$C$23, $C$13, 100%, $E$13)</f>
        <v>5.7088999999999999</v>
      </c>
      <c r="E381" s="67">
        <f>7 * CHOOSE(CONTROL!$C$23, $C$13, 100%, $E$13)</f>
        <v>7</v>
      </c>
      <c r="F381" s="67">
        <f>7 * CHOOSE(CONTROL!$C$23, $C$13, 100%, $E$13)</f>
        <v>7</v>
      </c>
      <c r="G381" s="67">
        <f>7.0067 * CHOOSE(CONTROL!$C$23, $C$13, 100%, $E$13)</f>
        <v>7.0067000000000004</v>
      </c>
      <c r="H381" s="67">
        <f>12.5849* CHOOSE(CONTROL!$C$23, $C$13, 100%, $E$13)</f>
        <v>12.584899999999999</v>
      </c>
      <c r="I381" s="67">
        <f>12.5916 * CHOOSE(CONTROL!$C$23, $C$13, 100%, $E$13)</f>
        <v>12.5916</v>
      </c>
      <c r="J381" s="67">
        <f>7 * CHOOSE(CONTROL!$C$23, $C$13, 100%, $E$13)</f>
        <v>7</v>
      </c>
      <c r="K381" s="67">
        <f>7.0067 * CHOOSE(CONTROL!$C$23, $C$13, 100%, $E$13)</f>
        <v>7.0067000000000004</v>
      </c>
    </row>
    <row r="382" spans="1:11" ht="15">
      <c r="A382" s="13">
        <v>52749</v>
      </c>
      <c r="B382" s="66">
        <f>5.7094 * CHOOSE(CONTROL!$C$23, $C$13, 100%, $E$13)</f>
        <v>5.7093999999999996</v>
      </c>
      <c r="C382" s="66">
        <f>5.7094 * CHOOSE(CONTROL!$C$23, $C$13, 100%, $E$13)</f>
        <v>5.7093999999999996</v>
      </c>
      <c r="D382" s="66">
        <f>5.7149 * CHOOSE(CONTROL!$C$23, $C$13, 100%, $E$13)</f>
        <v>5.7149000000000001</v>
      </c>
      <c r="E382" s="67">
        <f>6.9693 * CHOOSE(CONTROL!$C$23, $C$13, 100%, $E$13)</f>
        <v>6.9692999999999996</v>
      </c>
      <c r="F382" s="67">
        <f>6.9693 * CHOOSE(CONTROL!$C$23, $C$13, 100%, $E$13)</f>
        <v>6.9692999999999996</v>
      </c>
      <c r="G382" s="67">
        <f>6.9761 * CHOOSE(CONTROL!$C$23, $C$13, 100%, $E$13)</f>
        <v>6.9760999999999997</v>
      </c>
      <c r="H382" s="67">
        <f>12.6111* CHOOSE(CONTROL!$C$23, $C$13, 100%, $E$13)</f>
        <v>12.6111</v>
      </c>
      <c r="I382" s="67">
        <f>12.6178 * CHOOSE(CONTROL!$C$23, $C$13, 100%, $E$13)</f>
        <v>12.617800000000001</v>
      </c>
      <c r="J382" s="67">
        <f>6.9693 * CHOOSE(CONTROL!$C$23, $C$13, 100%, $E$13)</f>
        <v>6.9692999999999996</v>
      </c>
      <c r="K382" s="67">
        <f>6.9761 * CHOOSE(CONTROL!$C$23, $C$13, 100%, $E$13)</f>
        <v>6.9760999999999997</v>
      </c>
    </row>
    <row r="383" spans="1:11" ht="15">
      <c r="A383" s="13">
        <v>52779</v>
      </c>
      <c r="B383" s="66">
        <f>5.8021 * CHOOSE(CONTROL!$C$23, $C$13, 100%, $E$13)</f>
        <v>5.8021000000000003</v>
      </c>
      <c r="C383" s="66">
        <f>5.8021 * CHOOSE(CONTROL!$C$23, $C$13, 100%, $E$13)</f>
        <v>5.8021000000000003</v>
      </c>
      <c r="D383" s="66">
        <f>5.8076 * CHOOSE(CONTROL!$C$23, $C$13, 100%, $E$13)</f>
        <v>5.8075999999999999</v>
      </c>
      <c r="E383" s="67">
        <f>7.0867 * CHOOSE(CONTROL!$C$23, $C$13, 100%, $E$13)</f>
        <v>7.0867000000000004</v>
      </c>
      <c r="F383" s="67">
        <f>7.0867 * CHOOSE(CONTROL!$C$23, $C$13, 100%, $E$13)</f>
        <v>7.0867000000000004</v>
      </c>
      <c r="G383" s="67">
        <f>7.0935 * CHOOSE(CONTROL!$C$23, $C$13, 100%, $E$13)</f>
        <v>7.0934999999999997</v>
      </c>
      <c r="H383" s="67">
        <f>12.6374* CHOOSE(CONTROL!$C$23, $C$13, 100%, $E$13)</f>
        <v>12.6374</v>
      </c>
      <c r="I383" s="67">
        <f>12.6441 * CHOOSE(CONTROL!$C$23, $C$13, 100%, $E$13)</f>
        <v>12.6441</v>
      </c>
      <c r="J383" s="67">
        <f>7.0867 * CHOOSE(CONTROL!$C$23, $C$13, 100%, $E$13)</f>
        <v>7.0867000000000004</v>
      </c>
      <c r="K383" s="67">
        <f>7.0935 * CHOOSE(CONTROL!$C$23, $C$13, 100%, $E$13)</f>
        <v>7.0934999999999997</v>
      </c>
    </row>
    <row r="384" spans="1:11" ht="15">
      <c r="A384" s="13">
        <v>52810</v>
      </c>
      <c r="B384" s="66">
        <f>5.8088 * CHOOSE(CONTROL!$C$23, $C$13, 100%, $E$13)</f>
        <v>5.8087999999999997</v>
      </c>
      <c r="C384" s="66">
        <f>5.8088 * CHOOSE(CONTROL!$C$23, $C$13, 100%, $E$13)</f>
        <v>5.8087999999999997</v>
      </c>
      <c r="D384" s="66">
        <f>5.8143 * CHOOSE(CONTROL!$C$23, $C$13, 100%, $E$13)</f>
        <v>5.8143000000000002</v>
      </c>
      <c r="E384" s="67">
        <f>6.9867 * CHOOSE(CONTROL!$C$23, $C$13, 100%, $E$13)</f>
        <v>6.9866999999999999</v>
      </c>
      <c r="F384" s="67">
        <f>6.9867 * CHOOSE(CONTROL!$C$23, $C$13, 100%, $E$13)</f>
        <v>6.9866999999999999</v>
      </c>
      <c r="G384" s="67">
        <f>6.9934 * CHOOSE(CONTROL!$C$23, $C$13, 100%, $E$13)</f>
        <v>6.9934000000000003</v>
      </c>
      <c r="H384" s="67">
        <f>12.6637* CHOOSE(CONTROL!$C$23, $C$13, 100%, $E$13)</f>
        <v>12.6637</v>
      </c>
      <c r="I384" s="67">
        <f>12.6704 * CHOOSE(CONTROL!$C$23, $C$13, 100%, $E$13)</f>
        <v>12.670400000000001</v>
      </c>
      <c r="J384" s="67">
        <f>6.9867 * CHOOSE(CONTROL!$C$23, $C$13, 100%, $E$13)</f>
        <v>6.9866999999999999</v>
      </c>
      <c r="K384" s="67">
        <f>6.9934 * CHOOSE(CONTROL!$C$23, $C$13, 100%, $E$13)</f>
        <v>6.9934000000000003</v>
      </c>
    </row>
    <row r="385" spans="1:11" ht="15">
      <c r="A385" s="13">
        <v>52841</v>
      </c>
      <c r="B385" s="66">
        <f>5.8058 * CHOOSE(CONTROL!$C$23, $C$13, 100%, $E$13)</f>
        <v>5.8057999999999996</v>
      </c>
      <c r="C385" s="66">
        <f>5.8058 * CHOOSE(CONTROL!$C$23, $C$13, 100%, $E$13)</f>
        <v>5.8057999999999996</v>
      </c>
      <c r="D385" s="66">
        <f>5.8113 * CHOOSE(CONTROL!$C$23, $C$13, 100%, $E$13)</f>
        <v>5.8113000000000001</v>
      </c>
      <c r="E385" s="67">
        <f>6.9729 * CHOOSE(CONTROL!$C$23, $C$13, 100%, $E$13)</f>
        <v>6.9729000000000001</v>
      </c>
      <c r="F385" s="67">
        <f>6.9729 * CHOOSE(CONTROL!$C$23, $C$13, 100%, $E$13)</f>
        <v>6.9729000000000001</v>
      </c>
      <c r="G385" s="67">
        <f>6.9797 * CHOOSE(CONTROL!$C$23, $C$13, 100%, $E$13)</f>
        <v>6.9797000000000002</v>
      </c>
      <c r="H385" s="67">
        <f>12.6901* CHOOSE(CONTROL!$C$23, $C$13, 100%, $E$13)</f>
        <v>12.690099999999999</v>
      </c>
      <c r="I385" s="67">
        <f>12.6968 * CHOOSE(CONTROL!$C$23, $C$13, 100%, $E$13)</f>
        <v>12.6968</v>
      </c>
      <c r="J385" s="67">
        <f>6.9729 * CHOOSE(CONTROL!$C$23, $C$13, 100%, $E$13)</f>
        <v>6.9729000000000001</v>
      </c>
      <c r="K385" s="67">
        <f>6.9797 * CHOOSE(CONTROL!$C$23, $C$13, 100%, $E$13)</f>
        <v>6.9797000000000002</v>
      </c>
    </row>
    <row r="386" spans="1:11" ht="15">
      <c r="A386" s="13">
        <v>52871</v>
      </c>
      <c r="B386" s="66">
        <f>5.8068 * CHOOSE(CONTROL!$C$23, $C$13, 100%, $E$13)</f>
        <v>5.8068</v>
      </c>
      <c r="C386" s="66">
        <f>5.8068 * CHOOSE(CONTROL!$C$23, $C$13, 100%, $E$13)</f>
        <v>5.8068</v>
      </c>
      <c r="D386" s="66">
        <f>5.8107 * CHOOSE(CONTROL!$C$23, $C$13, 100%, $E$13)</f>
        <v>5.8106999999999998</v>
      </c>
      <c r="E386" s="67">
        <f>7.0061 * CHOOSE(CONTROL!$C$23, $C$13, 100%, $E$13)</f>
        <v>7.0061</v>
      </c>
      <c r="F386" s="67">
        <f>7.0061 * CHOOSE(CONTROL!$C$23, $C$13, 100%, $E$13)</f>
        <v>7.0061</v>
      </c>
      <c r="G386" s="67">
        <f>7.0108 * CHOOSE(CONTROL!$C$23, $C$13, 100%, $E$13)</f>
        <v>7.0107999999999997</v>
      </c>
      <c r="H386" s="67">
        <f>12.7165* CHOOSE(CONTROL!$C$23, $C$13, 100%, $E$13)</f>
        <v>12.7165</v>
      </c>
      <c r="I386" s="67">
        <f>12.7213 * CHOOSE(CONTROL!$C$23, $C$13, 100%, $E$13)</f>
        <v>12.721299999999999</v>
      </c>
      <c r="J386" s="67">
        <f>7.0061 * CHOOSE(CONTROL!$C$23, $C$13, 100%, $E$13)</f>
        <v>7.0061</v>
      </c>
      <c r="K386" s="67">
        <f>7.0108 * CHOOSE(CONTROL!$C$23, $C$13, 100%, $E$13)</f>
        <v>7.0107999999999997</v>
      </c>
    </row>
    <row r="387" spans="1:11" ht="15">
      <c r="A387" s="13">
        <v>52902</v>
      </c>
      <c r="B387" s="66">
        <f>5.8099 * CHOOSE(CONTROL!$C$23, $C$13, 100%, $E$13)</f>
        <v>5.8098999999999998</v>
      </c>
      <c r="C387" s="66">
        <f>5.8099 * CHOOSE(CONTROL!$C$23, $C$13, 100%, $E$13)</f>
        <v>5.8098999999999998</v>
      </c>
      <c r="D387" s="66">
        <f>5.8137 * CHOOSE(CONTROL!$C$23, $C$13, 100%, $E$13)</f>
        <v>5.8136999999999999</v>
      </c>
      <c r="E387" s="67">
        <f>7.0314 * CHOOSE(CONTROL!$C$23, $C$13, 100%, $E$13)</f>
        <v>7.0313999999999997</v>
      </c>
      <c r="F387" s="67">
        <f>7.0314 * CHOOSE(CONTROL!$C$23, $C$13, 100%, $E$13)</f>
        <v>7.0313999999999997</v>
      </c>
      <c r="G387" s="67">
        <f>7.0362 * CHOOSE(CONTROL!$C$23, $C$13, 100%, $E$13)</f>
        <v>7.0362</v>
      </c>
      <c r="H387" s="67">
        <f>12.743* CHOOSE(CONTROL!$C$23, $C$13, 100%, $E$13)</f>
        <v>12.743</v>
      </c>
      <c r="I387" s="67">
        <f>12.7478 * CHOOSE(CONTROL!$C$23, $C$13, 100%, $E$13)</f>
        <v>12.7478</v>
      </c>
      <c r="J387" s="67">
        <f>7.0314 * CHOOSE(CONTROL!$C$23, $C$13, 100%, $E$13)</f>
        <v>7.0313999999999997</v>
      </c>
      <c r="K387" s="67">
        <f>7.0362 * CHOOSE(CONTROL!$C$23, $C$13, 100%, $E$13)</f>
        <v>7.0362</v>
      </c>
    </row>
    <row r="388" spans="1:11" ht="15">
      <c r="A388" s="13">
        <v>52932</v>
      </c>
      <c r="B388" s="66">
        <f>5.8099 * CHOOSE(CONTROL!$C$23, $C$13, 100%, $E$13)</f>
        <v>5.8098999999999998</v>
      </c>
      <c r="C388" s="66">
        <f>5.8099 * CHOOSE(CONTROL!$C$23, $C$13, 100%, $E$13)</f>
        <v>5.8098999999999998</v>
      </c>
      <c r="D388" s="66">
        <f>5.8137 * CHOOSE(CONTROL!$C$23, $C$13, 100%, $E$13)</f>
        <v>5.8136999999999999</v>
      </c>
      <c r="E388" s="67">
        <f>6.9733 * CHOOSE(CONTROL!$C$23, $C$13, 100%, $E$13)</f>
        <v>6.9733000000000001</v>
      </c>
      <c r="F388" s="67">
        <f>6.9733 * CHOOSE(CONTROL!$C$23, $C$13, 100%, $E$13)</f>
        <v>6.9733000000000001</v>
      </c>
      <c r="G388" s="67">
        <f>6.978 * CHOOSE(CONTROL!$C$23, $C$13, 100%, $E$13)</f>
        <v>6.9779999999999998</v>
      </c>
      <c r="H388" s="67">
        <f>12.7696* CHOOSE(CONTROL!$C$23, $C$13, 100%, $E$13)</f>
        <v>12.769600000000001</v>
      </c>
      <c r="I388" s="67">
        <f>12.7743 * CHOOSE(CONTROL!$C$23, $C$13, 100%, $E$13)</f>
        <v>12.7743</v>
      </c>
      <c r="J388" s="67">
        <f>6.9733 * CHOOSE(CONTROL!$C$23, $C$13, 100%, $E$13)</f>
        <v>6.9733000000000001</v>
      </c>
      <c r="K388" s="67">
        <f>6.978 * CHOOSE(CONTROL!$C$23, $C$13, 100%, $E$13)</f>
        <v>6.9779999999999998</v>
      </c>
    </row>
    <row r="389" spans="1:11" ht="15">
      <c r="A389" s="13">
        <v>52963</v>
      </c>
      <c r="B389" s="66">
        <f>5.8609 * CHOOSE(CONTROL!$C$23, $C$13, 100%, $E$13)</f>
        <v>5.8609</v>
      </c>
      <c r="C389" s="66">
        <f>5.8609 * CHOOSE(CONTROL!$C$23, $C$13, 100%, $E$13)</f>
        <v>5.8609</v>
      </c>
      <c r="D389" s="66">
        <f>5.8648 * CHOOSE(CONTROL!$C$23, $C$13, 100%, $E$13)</f>
        <v>5.8647999999999998</v>
      </c>
      <c r="E389" s="67">
        <f>7.0724 * CHOOSE(CONTROL!$C$23, $C$13, 100%, $E$13)</f>
        <v>7.0724</v>
      </c>
      <c r="F389" s="67">
        <f>7.0724 * CHOOSE(CONTROL!$C$23, $C$13, 100%, $E$13)</f>
        <v>7.0724</v>
      </c>
      <c r="G389" s="67">
        <f>7.0772 * CHOOSE(CONTROL!$C$23, $C$13, 100%, $E$13)</f>
        <v>7.0772000000000004</v>
      </c>
      <c r="H389" s="67">
        <f>12.7962* CHOOSE(CONTROL!$C$23, $C$13, 100%, $E$13)</f>
        <v>12.796200000000001</v>
      </c>
      <c r="I389" s="67">
        <f>12.8009 * CHOOSE(CONTROL!$C$23, $C$13, 100%, $E$13)</f>
        <v>12.8009</v>
      </c>
      <c r="J389" s="67">
        <f>7.0724 * CHOOSE(CONTROL!$C$23, $C$13, 100%, $E$13)</f>
        <v>7.0724</v>
      </c>
      <c r="K389" s="67">
        <f>7.0772 * CHOOSE(CONTROL!$C$23, $C$13, 100%, $E$13)</f>
        <v>7.0772000000000004</v>
      </c>
    </row>
    <row r="390" spans="1:11" ht="15">
      <c r="A390" s="13">
        <v>52994</v>
      </c>
      <c r="B390" s="66">
        <f>5.8579 * CHOOSE(CONTROL!$C$23, $C$13, 100%, $E$13)</f>
        <v>5.8578999999999999</v>
      </c>
      <c r="C390" s="66">
        <f>5.8579 * CHOOSE(CONTROL!$C$23, $C$13, 100%, $E$13)</f>
        <v>5.8578999999999999</v>
      </c>
      <c r="D390" s="66">
        <f>5.8618 * CHOOSE(CONTROL!$C$23, $C$13, 100%, $E$13)</f>
        <v>5.8617999999999997</v>
      </c>
      <c r="E390" s="67">
        <f>6.9573 * CHOOSE(CONTROL!$C$23, $C$13, 100%, $E$13)</f>
        <v>6.9573</v>
      </c>
      <c r="F390" s="67">
        <f>6.9573 * CHOOSE(CONTROL!$C$23, $C$13, 100%, $E$13)</f>
        <v>6.9573</v>
      </c>
      <c r="G390" s="67">
        <f>6.9621 * CHOOSE(CONTROL!$C$23, $C$13, 100%, $E$13)</f>
        <v>6.9621000000000004</v>
      </c>
      <c r="H390" s="67">
        <f>12.8228* CHOOSE(CONTROL!$C$23, $C$13, 100%, $E$13)</f>
        <v>12.822800000000001</v>
      </c>
      <c r="I390" s="67">
        <f>12.8276 * CHOOSE(CONTROL!$C$23, $C$13, 100%, $E$13)</f>
        <v>12.8276</v>
      </c>
      <c r="J390" s="67">
        <f>6.9573 * CHOOSE(CONTROL!$C$23, $C$13, 100%, $E$13)</f>
        <v>6.9573</v>
      </c>
      <c r="K390" s="67">
        <f>6.9621 * CHOOSE(CONTROL!$C$23, $C$13, 100%, $E$13)</f>
        <v>6.9621000000000004</v>
      </c>
    </row>
    <row r="391" spans="1:11" ht="15">
      <c r="A391" s="13">
        <v>53022</v>
      </c>
      <c r="B391" s="66">
        <f>5.8548 * CHOOSE(CONTROL!$C$23, $C$13, 100%, $E$13)</f>
        <v>5.8548</v>
      </c>
      <c r="C391" s="66">
        <f>5.8548 * CHOOSE(CONTROL!$C$23, $C$13, 100%, $E$13)</f>
        <v>5.8548</v>
      </c>
      <c r="D391" s="66">
        <f>5.8587 * CHOOSE(CONTROL!$C$23, $C$13, 100%, $E$13)</f>
        <v>5.8586999999999998</v>
      </c>
      <c r="E391" s="67">
        <f>7.0443 * CHOOSE(CONTROL!$C$23, $C$13, 100%, $E$13)</f>
        <v>7.0442999999999998</v>
      </c>
      <c r="F391" s="67">
        <f>7.0443 * CHOOSE(CONTROL!$C$23, $C$13, 100%, $E$13)</f>
        <v>7.0442999999999998</v>
      </c>
      <c r="G391" s="67">
        <f>7.049 * CHOOSE(CONTROL!$C$23, $C$13, 100%, $E$13)</f>
        <v>7.0490000000000004</v>
      </c>
      <c r="H391" s="67">
        <f>12.8495* CHOOSE(CONTROL!$C$23, $C$13, 100%, $E$13)</f>
        <v>12.849500000000001</v>
      </c>
      <c r="I391" s="67">
        <f>12.8543 * CHOOSE(CONTROL!$C$23, $C$13, 100%, $E$13)</f>
        <v>12.8543</v>
      </c>
      <c r="J391" s="67">
        <f>7.0443 * CHOOSE(CONTROL!$C$23, $C$13, 100%, $E$13)</f>
        <v>7.0442999999999998</v>
      </c>
      <c r="K391" s="67">
        <f>7.049 * CHOOSE(CONTROL!$C$23, $C$13, 100%, $E$13)</f>
        <v>7.0490000000000004</v>
      </c>
    </row>
    <row r="392" spans="1:11" ht="15">
      <c r="A392" s="13">
        <v>53053</v>
      </c>
      <c r="B392" s="66">
        <f>5.8541 * CHOOSE(CONTROL!$C$23, $C$13, 100%, $E$13)</f>
        <v>5.8540999999999999</v>
      </c>
      <c r="C392" s="66">
        <f>5.8541 * CHOOSE(CONTROL!$C$23, $C$13, 100%, $E$13)</f>
        <v>5.8540999999999999</v>
      </c>
      <c r="D392" s="66">
        <f>5.858 * CHOOSE(CONTROL!$C$23, $C$13, 100%, $E$13)</f>
        <v>5.8579999999999997</v>
      </c>
      <c r="E392" s="67">
        <f>7.1357 * CHOOSE(CONTROL!$C$23, $C$13, 100%, $E$13)</f>
        <v>7.1356999999999999</v>
      </c>
      <c r="F392" s="67">
        <f>7.1357 * CHOOSE(CONTROL!$C$23, $C$13, 100%, $E$13)</f>
        <v>7.1356999999999999</v>
      </c>
      <c r="G392" s="67">
        <f>7.1405 * CHOOSE(CONTROL!$C$23, $C$13, 100%, $E$13)</f>
        <v>7.1405000000000003</v>
      </c>
      <c r="H392" s="67">
        <f>12.8763* CHOOSE(CONTROL!$C$23, $C$13, 100%, $E$13)</f>
        <v>12.876300000000001</v>
      </c>
      <c r="I392" s="67">
        <f>12.8811 * CHOOSE(CONTROL!$C$23, $C$13, 100%, $E$13)</f>
        <v>12.8811</v>
      </c>
      <c r="J392" s="67">
        <f>7.1357 * CHOOSE(CONTROL!$C$23, $C$13, 100%, $E$13)</f>
        <v>7.1356999999999999</v>
      </c>
      <c r="K392" s="67">
        <f>7.1405 * CHOOSE(CONTROL!$C$23, $C$13, 100%, $E$13)</f>
        <v>7.1405000000000003</v>
      </c>
    </row>
    <row r="393" spans="1:11" ht="15">
      <c r="A393" s="13">
        <v>53083</v>
      </c>
      <c r="B393" s="66">
        <f>5.8541 * CHOOSE(CONTROL!$C$23, $C$13, 100%, $E$13)</f>
        <v>5.8540999999999999</v>
      </c>
      <c r="C393" s="66">
        <f>5.8541 * CHOOSE(CONTROL!$C$23, $C$13, 100%, $E$13)</f>
        <v>5.8540999999999999</v>
      </c>
      <c r="D393" s="66">
        <f>5.8596 * CHOOSE(CONTROL!$C$23, $C$13, 100%, $E$13)</f>
        <v>5.8596000000000004</v>
      </c>
      <c r="E393" s="67">
        <f>7.1716 * CHOOSE(CONTROL!$C$23, $C$13, 100%, $E$13)</f>
        <v>7.1715999999999998</v>
      </c>
      <c r="F393" s="67">
        <f>7.1716 * CHOOSE(CONTROL!$C$23, $C$13, 100%, $E$13)</f>
        <v>7.1715999999999998</v>
      </c>
      <c r="G393" s="67">
        <f>7.1783 * CHOOSE(CONTROL!$C$23, $C$13, 100%, $E$13)</f>
        <v>7.1783000000000001</v>
      </c>
      <c r="H393" s="67">
        <f>12.9031* CHOOSE(CONTROL!$C$23, $C$13, 100%, $E$13)</f>
        <v>12.9031</v>
      </c>
      <c r="I393" s="67">
        <f>12.9099 * CHOOSE(CONTROL!$C$23, $C$13, 100%, $E$13)</f>
        <v>12.9099</v>
      </c>
      <c r="J393" s="67">
        <f>7.1716 * CHOOSE(CONTROL!$C$23, $C$13, 100%, $E$13)</f>
        <v>7.1715999999999998</v>
      </c>
      <c r="K393" s="67">
        <f>7.1783 * CHOOSE(CONTROL!$C$23, $C$13, 100%, $E$13)</f>
        <v>7.1783000000000001</v>
      </c>
    </row>
    <row r="394" spans="1:11" ht="15">
      <c r="A394" s="13">
        <v>53114</v>
      </c>
      <c r="B394" s="66">
        <f>5.8602 * CHOOSE(CONTROL!$C$23, $C$13, 100%, $E$13)</f>
        <v>5.8601999999999999</v>
      </c>
      <c r="C394" s="66">
        <f>5.8602 * CHOOSE(CONTROL!$C$23, $C$13, 100%, $E$13)</f>
        <v>5.8601999999999999</v>
      </c>
      <c r="D394" s="66">
        <f>5.8657 * CHOOSE(CONTROL!$C$23, $C$13, 100%, $E$13)</f>
        <v>5.8657000000000004</v>
      </c>
      <c r="E394" s="67">
        <f>7.1399 * CHOOSE(CONTROL!$C$23, $C$13, 100%, $E$13)</f>
        <v>7.1398999999999999</v>
      </c>
      <c r="F394" s="67">
        <f>7.1399 * CHOOSE(CONTROL!$C$23, $C$13, 100%, $E$13)</f>
        <v>7.1398999999999999</v>
      </c>
      <c r="G394" s="67">
        <f>7.1467 * CHOOSE(CONTROL!$C$23, $C$13, 100%, $E$13)</f>
        <v>7.1467000000000001</v>
      </c>
      <c r="H394" s="67">
        <f>12.93* CHOOSE(CONTROL!$C$23, $C$13, 100%, $E$13)</f>
        <v>12.93</v>
      </c>
      <c r="I394" s="67">
        <f>12.9368 * CHOOSE(CONTROL!$C$23, $C$13, 100%, $E$13)</f>
        <v>12.9368</v>
      </c>
      <c r="J394" s="67">
        <f>7.1399 * CHOOSE(CONTROL!$C$23, $C$13, 100%, $E$13)</f>
        <v>7.1398999999999999</v>
      </c>
      <c r="K394" s="67">
        <f>7.1467 * CHOOSE(CONTROL!$C$23, $C$13, 100%, $E$13)</f>
        <v>7.1467000000000001</v>
      </c>
    </row>
    <row r="395" spans="1:11" ht="15">
      <c r="A395" s="13">
        <v>53144</v>
      </c>
      <c r="B395" s="66">
        <f>5.955 * CHOOSE(CONTROL!$C$23, $C$13, 100%, $E$13)</f>
        <v>5.9550000000000001</v>
      </c>
      <c r="C395" s="66">
        <f>5.955 * CHOOSE(CONTROL!$C$23, $C$13, 100%, $E$13)</f>
        <v>5.9550000000000001</v>
      </c>
      <c r="D395" s="66">
        <f>5.9605 * CHOOSE(CONTROL!$C$23, $C$13, 100%, $E$13)</f>
        <v>5.9604999999999997</v>
      </c>
      <c r="E395" s="67">
        <f>7.2599 * CHOOSE(CONTROL!$C$23, $C$13, 100%, $E$13)</f>
        <v>7.2599</v>
      </c>
      <c r="F395" s="67">
        <f>7.2599 * CHOOSE(CONTROL!$C$23, $C$13, 100%, $E$13)</f>
        <v>7.2599</v>
      </c>
      <c r="G395" s="67">
        <f>7.2666 * CHOOSE(CONTROL!$C$23, $C$13, 100%, $E$13)</f>
        <v>7.2666000000000004</v>
      </c>
      <c r="H395" s="67">
        <f>12.957* CHOOSE(CONTROL!$C$23, $C$13, 100%, $E$13)</f>
        <v>12.957000000000001</v>
      </c>
      <c r="I395" s="67">
        <f>12.9637 * CHOOSE(CONTROL!$C$23, $C$13, 100%, $E$13)</f>
        <v>12.963699999999999</v>
      </c>
      <c r="J395" s="67">
        <f>7.2599 * CHOOSE(CONTROL!$C$23, $C$13, 100%, $E$13)</f>
        <v>7.2599</v>
      </c>
      <c r="K395" s="67">
        <f>7.2666 * CHOOSE(CONTROL!$C$23, $C$13, 100%, $E$13)</f>
        <v>7.2666000000000004</v>
      </c>
    </row>
    <row r="396" spans="1:11" ht="15">
      <c r="A396" s="13">
        <v>53175</v>
      </c>
      <c r="B396" s="66">
        <f>5.9617 * CHOOSE(CONTROL!$C$23, $C$13, 100%, $E$13)</f>
        <v>5.9617000000000004</v>
      </c>
      <c r="C396" s="66">
        <f>5.9617 * CHOOSE(CONTROL!$C$23, $C$13, 100%, $E$13)</f>
        <v>5.9617000000000004</v>
      </c>
      <c r="D396" s="66">
        <f>5.9672 * CHOOSE(CONTROL!$C$23, $C$13, 100%, $E$13)</f>
        <v>5.9672000000000001</v>
      </c>
      <c r="E396" s="67">
        <f>7.1569 * CHOOSE(CONTROL!$C$23, $C$13, 100%, $E$13)</f>
        <v>7.1569000000000003</v>
      </c>
      <c r="F396" s="67">
        <f>7.1569 * CHOOSE(CONTROL!$C$23, $C$13, 100%, $E$13)</f>
        <v>7.1569000000000003</v>
      </c>
      <c r="G396" s="67">
        <f>7.1637 * CHOOSE(CONTROL!$C$23, $C$13, 100%, $E$13)</f>
        <v>7.1637000000000004</v>
      </c>
      <c r="H396" s="67">
        <f>12.984* CHOOSE(CONTROL!$C$23, $C$13, 100%, $E$13)</f>
        <v>12.984</v>
      </c>
      <c r="I396" s="67">
        <f>12.9907 * CHOOSE(CONTROL!$C$23, $C$13, 100%, $E$13)</f>
        <v>12.9907</v>
      </c>
      <c r="J396" s="67">
        <f>7.1569 * CHOOSE(CONTROL!$C$23, $C$13, 100%, $E$13)</f>
        <v>7.1569000000000003</v>
      </c>
      <c r="K396" s="67">
        <f>7.1637 * CHOOSE(CONTROL!$C$23, $C$13, 100%, $E$13)</f>
        <v>7.1637000000000004</v>
      </c>
    </row>
    <row r="397" spans="1:11" ht="15">
      <c r="A397" s="13">
        <v>53206</v>
      </c>
      <c r="B397" s="66">
        <f>5.9586 * CHOOSE(CONTROL!$C$23, $C$13, 100%, $E$13)</f>
        <v>5.9585999999999997</v>
      </c>
      <c r="C397" s="66">
        <f>5.9586 * CHOOSE(CONTROL!$C$23, $C$13, 100%, $E$13)</f>
        <v>5.9585999999999997</v>
      </c>
      <c r="D397" s="66">
        <f>5.9641 * CHOOSE(CONTROL!$C$23, $C$13, 100%, $E$13)</f>
        <v>5.9641000000000002</v>
      </c>
      <c r="E397" s="67">
        <f>7.1429 * CHOOSE(CONTROL!$C$23, $C$13, 100%, $E$13)</f>
        <v>7.1429</v>
      </c>
      <c r="F397" s="67">
        <f>7.1429 * CHOOSE(CONTROL!$C$23, $C$13, 100%, $E$13)</f>
        <v>7.1429</v>
      </c>
      <c r="G397" s="67">
        <f>7.1496 * CHOOSE(CONTROL!$C$23, $C$13, 100%, $E$13)</f>
        <v>7.1496000000000004</v>
      </c>
      <c r="H397" s="67">
        <f>13.011* CHOOSE(CONTROL!$C$23, $C$13, 100%, $E$13)</f>
        <v>13.010999999999999</v>
      </c>
      <c r="I397" s="67">
        <f>13.0177 * CHOOSE(CONTROL!$C$23, $C$13, 100%, $E$13)</f>
        <v>13.0177</v>
      </c>
      <c r="J397" s="67">
        <f>7.1429 * CHOOSE(CONTROL!$C$23, $C$13, 100%, $E$13)</f>
        <v>7.1429</v>
      </c>
      <c r="K397" s="67">
        <f>7.1496 * CHOOSE(CONTROL!$C$23, $C$13, 100%, $E$13)</f>
        <v>7.1496000000000004</v>
      </c>
    </row>
    <row r="398" spans="1:11" ht="15">
      <c r="A398" s="13">
        <v>53236</v>
      </c>
      <c r="B398" s="66">
        <f>5.9602 * CHOOSE(CONTROL!$C$23, $C$13, 100%, $E$13)</f>
        <v>5.9602000000000004</v>
      </c>
      <c r="C398" s="66">
        <f>5.9602 * CHOOSE(CONTROL!$C$23, $C$13, 100%, $E$13)</f>
        <v>5.9602000000000004</v>
      </c>
      <c r="D398" s="66">
        <f>5.9641 * CHOOSE(CONTROL!$C$23, $C$13, 100%, $E$13)</f>
        <v>5.9641000000000002</v>
      </c>
      <c r="E398" s="67">
        <f>7.1773 * CHOOSE(CONTROL!$C$23, $C$13, 100%, $E$13)</f>
        <v>7.1772999999999998</v>
      </c>
      <c r="F398" s="67">
        <f>7.1773 * CHOOSE(CONTROL!$C$23, $C$13, 100%, $E$13)</f>
        <v>7.1772999999999998</v>
      </c>
      <c r="G398" s="67">
        <f>7.182 * CHOOSE(CONTROL!$C$23, $C$13, 100%, $E$13)</f>
        <v>7.1820000000000004</v>
      </c>
      <c r="H398" s="67">
        <f>13.0381* CHOOSE(CONTROL!$C$23, $C$13, 100%, $E$13)</f>
        <v>13.0381</v>
      </c>
      <c r="I398" s="67">
        <f>13.0429 * CHOOSE(CONTROL!$C$23, $C$13, 100%, $E$13)</f>
        <v>13.042899999999999</v>
      </c>
      <c r="J398" s="67">
        <f>7.1773 * CHOOSE(CONTROL!$C$23, $C$13, 100%, $E$13)</f>
        <v>7.1772999999999998</v>
      </c>
      <c r="K398" s="67">
        <f>7.182 * CHOOSE(CONTROL!$C$23, $C$13, 100%, $E$13)</f>
        <v>7.1820000000000004</v>
      </c>
    </row>
    <row r="399" spans="1:11" ht="15">
      <c r="A399" s="13">
        <v>53267</v>
      </c>
      <c r="B399" s="66">
        <f>5.9632 * CHOOSE(CONTROL!$C$23, $C$13, 100%, $E$13)</f>
        <v>5.9631999999999996</v>
      </c>
      <c r="C399" s="66">
        <f>5.9632 * CHOOSE(CONTROL!$C$23, $C$13, 100%, $E$13)</f>
        <v>5.9631999999999996</v>
      </c>
      <c r="D399" s="66">
        <f>5.9671 * CHOOSE(CONTROL!$C$23, $C$13, 100%, $E$13)</f>
        <v>5.9671000000000003</v>
      </c>
      <c r="E399" s="67">
        <f>7.2033 * CHOOSE(CONTROL!$C$23, $C$13, 100%, $E$13)</f>
        <v>7.2032999999999996</v>
      </c>
      <c r="F399" s="67">
        <f>7.2033 * CHOOSE(CONTROL!$C$23, $C$13, 100%, $E$13)</f>
        <v>7.2032999999999996</v>
      </c>
      <c r="G399" s="67">
        <f>7.2081 * CHOOSE(CONTROL!$C$23, $C$13, 100%, $E$13)</f>
        <v>7.2081</v>
      </c>
      <c r="H399" s="67">
        <f>13.0653* CHOOSE(CONTROL!$C$23, $C$13, 100%, $E$13)</f>
        <v>13.065300000000001</v>
      </c>
      <c r="I399" s="67">
        <f>13.07 * CHOOSE(CONTROL!$C$23, $C$13, 100%, $E$13)</f>
        <v>13.07</v>
      </c>
      <c r="J399" s="67">
        <f>7.2033 * CHOOSE(CONTROL!$C$23, $C$13, 100%, $E$13)</f>
        <v>7.2032999999999996</v>
      </c>
      <c r="K399" s="67">
        <f>7.2081 * CHOOSE(CONTROL!$C$23, $C$13, 100%, $E$13)</f>
        <v>7.2081</v>
      </c>
    </row>
    <row r="400" spans="1:11" ht="15">
      <c r="A400" s="13">
        <v>53297</v>
      </c>
      <c r="B400" s="66">
        <f>5.9632 * CHOOSE(CONTROL!$C$23, $C$13, 100%, $E$13)</f>
        <v>5.9631999999999996</v>
      </c>
      <c r="C400" s="66">
        <f>5.9632 * CHOOSE(CONTROL!$C$23, $C$13, 100%, $E$13)</f>
        <v>5.9631999999999996</v>
      </c>
      <c r="D400" s="66">
        <f>5.9671 * CHOOSE(CONTROL!$C$23, $C$13, 100%, $E$13)</f>
        <v>5.9671000000000003</v>
      </c>
      <c r="E400" s="67">
        <f>7.1435 * CHOOSE(CONTROL!$C$23, $C$13, 100%, $E$13)</f>
        <v>7.1435000000000004</v>
      </c>
      <c r="F400" s="67">
        <f>7.1435 * CHOOSE(CONTROL!$C$23, $C$13, 100%, $E$13)</f>
        <v>7.1435000000000004</v>
      </c>
      <c r="G400" s="67">
        <f>7.1483 * CHOOSE(CONTROL!$C$23, $C$13, 100%, $E$13)</f>
        <v>7.1482999999999999</v>
      </c>
      <c r="H400" s="67">
        <f>13.0925* CHOOSE(CONTROL!$C$23, $C$13, 100%, $E$13)</f>
        <v>13.092499999999999</v>
      </c>
      <c r="I400" s="67">
        <f>13.0973 * CHOOSE(CONTROL!$C$23, $C$13, 100%, $E$13)</f>
        <v>13.097300000000001</v>
      </c>
      <c r="J400" s="67">
        <f>7.1435 * CHOOSE(CONTROL!$C$23, $C$13, 100%, $E$13)</f>
        <v>7.1435000000000004</v>
      </c>
      <c r="K400" s="67">
        <f>7.1483 * CHOOSE(CONTROL!$C$23, $C$13, 100%, $E$13)</f>
        <v>7.1482999999999999</v>
      </c>
    </row>
    <row r="401" spans="1:11" ht="15">
      <c r="A401" s="13">
        <v>53328</v>
      </c>
      <c r="B401" s="66">
        <f>6.0155 * CHOOSE(CONTROL!$C$23, $C$13, 100%, $E$13)</f>
        <v>6.0155000000000003</v>
      </c>
      <c r="C401" s="66">
        <f>6.0155 * CHOOSE(CONTROL!$C$23, $C$13, 100%, $E$13)</f>
        <v>6.0155000000000003</v>
      </c>
      <c r="D401" s="66">
        <f>6.0194 * CHOOSE(CONTROL!$C$23, $C$13, 100%, $E$13)</f>
        <v>6.0194000000000001</v>
      </c>
      <c r="E401" s="67">
        <f>7.2452 * CHOOSE(CONTROL!$C$23, $C$13, 100%, $E$13)</f>
        <v>7.2451999999999996</v>
      </c>
      <c r="F401" s="67">
        <f>7.2452 * CHOOSE(CONTROL!$C$23, $C$13, 100%, $E$13)</f>
        <v>7.2451999999999996</v>
      </c>
      <c r="G401" s="67">
        <f>7.25 * CHOOSE(CONTROL!$C$23, $C$13, 100%, $E$13)</f>
        <v>7.25</v>
      </c>
      <c r="H401" s="67">
        <f>13.1198* CHOOSE(CONTROL!$C$23, $C$13, 100%, $E$13)</f>
        <v>13.1198</v>
      </c>
      <c r="I401" s="67">
        <f>13.1245 * CHOOSE(CONTROL!$C$23, $C$13, 100%, $E$13)</f>
        <v>13.124499999999999</v>
      </c>
      <c r="J401" s="67">
        <f>7.2452 * CHOOSE(CONTROL!$C$23, $C$13, 100%, $E$13)</f>
        <v>7.2451999999999996</v>
      </c>
      <c r="K401" s="67">
        <f>7.25 * CHOOSE(CONTROL!$C$23, $C$13, 100%, $E$13)</f>
        <v>7.25</v>
      </c>
    </row>
    <row r="402" spans="1:11" ht="15">
      <c r="A402" s="13">
        <v>53359</v>
      </c>
      <c r="B402" s="66">
        <f>6.0125 * CHOOSE(CONTROL!$C$23, $C$13, 100%, $E$13)</f>
        <v>6.0125000000000002</v>
      </c>
      <c r="C402" s="66">
        <f>6.0125 * CHOOSE(CONTROL!$C$23, $C$13, 100%, $E$13)</f>
        <v>6.0125000000000002</v>
      </c>
      <c r="D402" s="66">
        <f>6.0163 * CHOOSE(CONTROL!$C$23, $C$13, 100%, $E$13)</f>
        <v>6.0163000000000002</v>
      </c>
      <c r="E402" s="67">
        <f>7.1269 * CHOOSE(CONTROL!$C$23, $C$13, 100%, $E$13)</f>
        <v>7.1269</v>
      </c>
      <c r="F402" s="67">
        <f>7.1269 * CHOOSE(CONTROL!$C$23, $C$13, 100%, $E$13)</f>
        <v>7.1269</v>
      </c>
      <c r="G402" s="67">
        <f>7.1317 * CHOOSE(CONTROL!$C$23, $C$13, 100%, $E$13)</f>
        <v>7.1317000000000004</v>
      </c>
      <c r="H402" s="67">
        <f>13.1471* CHOOSE(CONTROL!$C$23, $C$13, 100%, $E$13)</f>
        <v>13.1471</v>
      </c>
      <c r="I402" s="67">
        <f>13.1519 * CHOOSE(CONTROL!$C$23, $C$13, 100%, $E$13)</f>
        <v>13.151899999999999</v>
      </c>
      <c r="J402" s="67">
        <f>7.1269 * CHOOSE(CONTROL!$C$23, $C$13, 100%, $E$13)</f>
        <v>7.1269</v>
      </c>
      <c r="K402" s="67">
        <f>7.1317 * CHOOSE(CONTROL!$C$23, $C$13, 100%, $E$13)</f>
        <v>7.1317000000000004</v>
      </c>
    </row>
    <row r="403" spans="1:11" ht="15">
      <c r="A403" s="13">
        <v>53387</v>
      </c>
      <c r="B403" s="66">
        <f>6.0094 * CHOOSE(CONTROL!$C$23, $C$13, 100%, $E$13)</f>
        <v>6.0094000000000003</v>
      </c>
      <c r="C403" s="66">
        <f>6.0094 * CHOOSE(CONTROL!$C$23, $C$13, 100%, $E$13)</f>
        <v>6.0094000000000003</v>
      </c>
      <c r="D403" s="66">
        <f>6.0133 * CHOOSE(CONTROL!$C$23, $C$13, 100%, $E$13)</f>
        <v>6.0133000000000001</v>
      </c>
      <c r="E403" s="67">
        <f>7.2164 * CHOOSE(CONTROL!$C$23, $C$13, 100%, $E$13)</f>
        <v>7.2164000000000001</v>
      </c>
      <c r="F403" s="67">
        <f>7.2164 * CHOOSE(CONTROL!$C$23, $C$13, 100%, $E$13)</f>
        <v>7.2164000000000001</v>
      </c>
      <c r="G403" s="67">
        <f>7.2211 * CHOOSE(CONTROL!$C$23, $C$13, 100%, $E$13)</f>
        <v>7.2210999999999999</v>
      </c>
      <c r="H403" s="67">
        <f>13.1745* CHOOSE(CONTROL!$C$23, $C$13, 100%, $E$13)</f>
        <v>13.1745</v>
      </c>
      <c r="I403" s="67">
        <f>13.1793 * CHOOSE(CONTROL!$C$23, $C$13, 100%, $E$13)</f>
        <v>13.1793</v>
      </c>
      <c r="J403" s="67">
        <f>7.2164 * CHOOSE(CONTROL!$C$23, $C$13, 100%, $E$13)</f>
        <v>7.2164000000000001</v>
      </c>
      <c r="K403" s="67">
        <f>7.2211 * CHOOSE(CONTROL!$C$23, $C$13, 100%, $E$13)</f>
        <v>7.2210999999999999</v>
      </c>
    </row>
    <row r="404" spans="1:11" ht="15">
      <c r="A404" s="13">
        <v>53418</v>
      </c>
      <c r="B404" s="66">
        <f>6.0088 * CHOOSE(CONTROL!$C$23, $C$13, 100%, $E$13)</f>
        <v>6.0087999999999999</v>
      </c>
      <c r="C404" s="66">
        <f>6.0088 * CHOOSE(CONTROL!$C$23, $C$13, 100%, $E$13)</f>
        <v>6.0087999999999999</v>
      </c>
      <c r="D404" s="66">
        <f>6.0127 * CHOOSE(CONTROL!$C$23, $C$13, 100%, $E$13)</f>
        <v>6.0126999999999997</v>
      </c>
      <c r="E404" s="67">
        <f>7.3105 * CHOOSE(CONTROL!$C$23, $C$13, 100%, $E$13)</f>
        <v>7.3105000000000002</v>
      </c>
      <c r="F404" s="67">
        <f>7.3105 * CHOOSE(CONTROL!$C$23, $C$13, 100%, $E$13)</f>
        <v>7.3105000000000002</v>
      </c>
      <c r="G404" s="67">
        <f>7.3152 * CHOOSE(CONTROL!$C$23, $C$13, 100%, $E$13)</f>
        <v>7.3151999999999999</v>
      </c>
      <c r="H404" s="67">
        <f>13.2019* CHOOSE(CONTROL!$C$23, $C$13, 100%, $E$13)</f>
        <v>13.2019</v>
      </c>
      <c r="I404" s="67">
        <f>13.2067 * CHOOSE(CONTROL!$C$23, $C$13, 100%, $E$13)</f>
        <v>13.2067</v>
      </c>
      <c r="J404" s="67">
        <f>7.3105 * CHOOSE(CONTROL!$C$23, $C$13, 100%, $E$13)</f>
        <v>7.3105000000000002</v>
      </c>
      <c r="K404" s="67">
        <f>7.3152 * CHOOSE(CONTROL!$C$23, $C$13, 100%, $E$13)</f>
        <v>7.3151999999999999</v>
      </c>
    </row>
    <row r="405" spans="1:11" ht="15">
      <c r="A405" s="13">
        <v>53448</v>
      </c>
      <c r="B405" s="66">
        <f>6.0088 * CHOOSE(CONTROL!$C$23, $C$13, 100%, $E$13)</f>
        <v>6.0087999999999999</v>
      </c>
      <c r="C405" s="66">
        <f>6.0088 * CHOOSE(CONTROL!$C$23, $C$13, 100%, $E$13)</f>
        <v>6.0087999999999999</v>
      </c>
      <c r="D405" s="66">
        <f>6.0143 * CHOOSE(CONTROL!$C$23, $C$13, 100%, $E$13)</f>
        <v>6.0143000000000004</v>
      </c>
      <c r="E405" s="67">
        <f>7.3474 * CHOOSE(CONTROL!$C$23, $C$13, 100%, $E$13)</f>
        <v>7.3474000000000004</v>
      </c>
      <c r="F405" s="67">
        <f>7.3474 * CHOOSE(CONTROL!$C$23, $C$13, 100%, $E$13)</f>
        <v>7.3474000000000004</v>
      </c>
      <c r="G405" s="67">
        <f>7.3541 * CHOOSE(CONTROL!$C$23, $C$13, 100%, $E$13)</f>
        <v>7.3540999999999999</v>
      </c>
      <c r="H405" s="67">
        <f>13.2294* CHOOSE(CONTROL!$C$23, $C$13, 100%, $E$13)</f>
        <v>13.2294</v>
      </c>
      <c r="I405" s="67">
        <f>13.2362 * CHOOSE(CONTROL!$C$23, $C$13, 100%, $E$13)</f>
        <v>13.2362</v>
      </c>
      <c r="J405" s="67">
        <f>7.3474 * CHOOSE(CONTROL!$C$23, $C$13, 100%, $E$13)</f>
        <v>7.3474000000000004</v>
      </c>
      <c r="K405" s="67">
        <f>7.3541 * CHOOSE(CONTROL!$C$23, $C$13, 100%, $E$13)</f>
        <v>7.3540999999999999</v>
      </c>
    </row>
    <row r="406" spans="1:11" ht="15">
      <c r="A406" s="13">
        <v>53479</v>
      </c>
      <c r="B406" s="66">
        <f>6.0149 * CHOOSE(CONTROL!$C$23, $C$13, 100%, $E$13)</f>
        <v>6.0148999999999999</v>
      </c>
      <c r="C406" s="66">
        <f>6.0149 * CHOOSE(CONTROL!$C$23, $C$13, 100%, $E$13)</f>
        <v>6.0148999999999999</v>
      </c>
      <c r="D406" s="66">
        <f>6.0204 * CHOOSE(CONTROL!$C$23, $C$13, 100%, $E$13)</f>
        <v>6.0204000000000004</v>
      </c>
      <c r="E406" s="67">
        <f>7.3147 * CHOOSE(CONTROL!$C$23, $C$13, 100%, $E$13)</f>
        <v>7.3147000000000002</v>
      </c>
      <c r="F406" s="67">
        <f>7.3147 * CHOOSE(CONTROL!$C$23, $C$13, 100%, $E$13)</f>
        <v>7.3147000000000002</v>
      </c>
      <c r="G406" s="67">
        <f>7.3215 * CHOOSE(CONTROL!$C$23, $C$13, 100%, $E$13)</f>
        <v>7.3215000000000003</v>
      </c>
      <c r="H406" s="67">
        <f>13.257* CHOOSE(CONTROL!$C$23, $C$13, 100%, $E$13)</f>
        <v>13.257</v>
      </c>
      <c r="I406" s="67">
        <f>13.2637 * CHOOSE(CONTROL!$C$23, $C$13, 100%, $E$13)</f>
        <v>13.2637</v>
      </c>
      <c r="J406" s="67">
        <f>7.3147 * CHOOSE(CONTROL!$C$23, $C$13, 100%, $E$13)</f>
        <v>7.3147000000000002</v>
      </c>
      <c r="K406" s="67">
        <f>7.3215 * CHOOSE(CONTROL!$C$23, $C$13, 100%, $E$13)</f>
        <v>7.3215000000000003</v>
      </c>
    </row>
    <row r="407" spans="1:11" ht="15">
      <c r="A407" s="13">
        <v>53509</v>
      </c>
      <c r="B407" s="66">
        <f>6.1119 * CHOOSE(CONTROL!$C$23, $C$13, 100%, $E$13)</f>
        <v>6.1119000000000003</v>
      </c>
      <c r="C407" s="66">
        <f>6.1119 * CHOOSE(CONTROL!$C$23, $C$13, 100%, $E$13)</f>
        <v>6.1119000000000003</v>
      </c>
      <c r="D407" s="66">
        <f>6.1174 * CHOOSE(CONTROL!$C$23, $C$13, 100%, $E$13)</f>
        <v>6.1173999999999999</v>
      </c>
      <c r="E407" s="67">
        <f>7.4374 * CHOOSE(CONTROL!$C$23, $C$13, 100%, $E$13)</f>
        <v>7.4374000000000002</v>
      </c>
      <c r="F407" s="67">
        <f>7.4374 * CHOOSE(CONTROL!$C$23, $C$13, 100%, $E$13)</f>
        <v>7.4374000000000002</v>
      </c>
      <c r="G407" s="67">
        <f>7.4441 * CHOOSE(CONTROL!$C$23, $C$13, 100%, $E$13)</f>
        <v>7.4440999999999997</v>
      </c>
      <c r="H407" s="67">
        <f>13.2846* CHOOSE(CONTROL!$C$23, $C$13, 100%, $E$13)</f>
        <v>13.284599999999999</v>
      </c>
      <c r="I407" s="67">
        <f>13.2914 * CHOOSE(CONTROL!$C$23, $C$13, 100%, $E$13)</f>
        <v>13.291399999999999</v>
      </c>
      <c r="J407" s="67">
        <f>7.4374 * CHOOSE(CONTROL!$C$23, $C$13, 100%, $E$13)</f>
        <v>7.4374000000000002</v>
      </c>
      <c r="K407" s="67">
        <f>7.4441 * CHOOSE(CONTROL!$C$23, $C$13, 100%, $E$13)</f>
        <v>7.4440999999999997</v>
      </c>
    </row>
    <row r="408" spans="1:11" ht="15">
      <c r="A408" s="13">
        <v>53540</v>
      </c>
      <c r="B408" s="66">
        <f>6.1186 * CHOOSE(CONTROL!$C$23, $C$13, 100%, $E$13)</f>
        <v>6.1185999999999998</v>
      </c>
      <c r="C408" s="66">
        <f>6.1186 * CHOOSE(CONTROL!$C$23, $C$13, 100%, $E$13)</f>
        <v>6.1185999999999998</v>
      </c>
      <c r="D408" s="66">
        <f>6.1241 * CHOOSE(CONTROL!$C$23, $C$13, 100%, $E$13)</f>
        <v>6.1241000000000003</v>
      </c>
      <c r="E408" s="67">
        <f>7.3314 * CHOOSE(CONTROL!$C$23, $C$13, 100%, $E$13)</f>
        <v>7.3314000000000004</v>
      </c>
      <c r="F408" s="67">
        <f>7.3314 * CHOOSE(CONTROL!$C$23, $C$13, 100%, $E$13)</f>
        <v>7.3314000000000004</v>
      </c>
      <c r="G408" s="67">
        <f>7.3381 * CHOOSE(CONTROL!$C$23, $C$13, 100%, $E$13)</f>
        <v>7.3380999999999998</v>
      </c>
      <c r="H408" s="67">
        <f>13.3123* CHOOSE(CONTROL!$C$23, $C$13, 100%, $E$13)</f>
        <v>13.3123</v>
      </c>
      <c r="I408" s="67">
        <f>13.319 * CHOOSE(CONTROL!$C$23, $C$13, 100%, $E$13)</f>
        <v>13.319000000000001</v>
      </c>
      <c r="J408" s="67">
        <f>7.3314 * CHOOSE(CONTROL!$C$23, $C$13, 100%, $E$13)</f>
        <v>7.3314000000000004</v>
      </c>
      <c r="K408" s="67">
        <f>7.3381 * CHOOSE(CONTROL!$C$23, $C$13, 100%, $E$13)</f>
        <v>7.3380999999999998</v>
      </c>
    </row>
    <row r="409" spans="1:11" ht="15">
      <c r="A409" s="13">
        <v>53571</v>
      </c>
      <c r="B409" s="66">
        <f>6.1156 * CHOOSE(CONTROL!$C$23, $C$13, 100%, $E$13)</f>
        <v>6.1155999999999997</v>
      </c>
      <c r="C409" s="66">
        <f>6.1156 * CHOOSE(CONTROL!$C$23, $C$13, 100%, $E$13)</f>
        <v>6.1155999999999997</v>
      </c>
      <c r="D409" s="66">
        <f>6.1211 * CHOOSE(CONTROL!$C$23, $C$13, 100%, $E$13)</f>
        <v>6.1211000000000002</v>
      </c>
      <c r="E409" s="67">
        <f>7.317 * CHOOSE(CONTROL!$C$23, $C$13, 100%, $E$13)</f>
        <v>7.3170000000000002</v>
      </c>
      <c r="F409" s="67">
        <f>7.317 * CHOOSE(CONTROL!$C$23, $C$13, 100%, $E$13)</f>
        <v>7.3170000000000002</v>
      </c>
      <c r="G409" s="67">
        <f>7.3237 * CHOOSE(CONTROL!$C$23, $C$13, 100%, $E$13)</f>
        <v>7.3236999999999997</v>
      </c>
      <c r="H409" s="67">
        <f>13.34* CHOOSE(CONTROL!$C$23, $C$13, 100%, $E$13)</f>
        <v>13.34</v>
      </c>
      <c r="I409" s="67">
        <f>13.3468 * CHOOSE(CONTROL!$C$23, $C$13, 100%, $E$13)</f>
        <v>13.3468</v>
      </c>
      <c r="J409" s="67">
        <f>7.317 * CHOOSE(CONTROL!$C$23, $C$13, 100%, $E$13)</f>
        <v>7.3170000000000002</v>
      </c>
      <c r="K409" s="67">
        <f>7.3237 * CHOOSE(CONTROL!$C$23, $C$13, 100%, $E$13)</f>
        <v>7.3236999999999997</v>
      </c>
    </row>
    <row r="410" spans="1:11" ht="15">
      <c r="A410" s="13">
        <v>53601</v>
      </c>
      <c r="B410" s="66">
        <f>6.1176 * CHOOSE(CONTROL!$C$23, $C$13, 100%, $E$13)</f>
        <v>6.1176000000000004</v>
      </c>
      <c r="C410" s="66">
        <f>6.1176 * CHOOSE(CONTROL!$C$23, $C$13, 100%, $E$13)</f>
        <v>6.1176000000000004</v>
      </c>
      <c r="D410" s="66">
        <f>6.1215 * CHOOSE(CONTROL!$C$23, $C$13, 100%, $E$13)</f>
        <v>6.1215000000000002</v>
      </c>
      <c r="E410" s="67">
        <f>7.3527 * CHOOSE(CONTROL!$C$23, $C$13, 100%, $E$13)</f>
        <v>7.3526999999999996</v>
      </c>
      <c r="F410" s="67">
        <f>7.3527 * CHOOSE(CONTROL!$C$23, $C$13, 100%, $E$13)</f>
        <v>7.3526999999999996</v>
      </c>
      <c r="G410" s="67">
        <f>7.3575 * CHOOSE(CONTROL!$C$23, $C$13, 100%, $E$13)</f>
        <v>7.3574999999999999</v>
      </c>
      <c r="H410" s="67">
        <f>13.3678* CHOOSE(CONTROL!$C$23, $C$13, 100%, $E$13)</f>
        <v>13.367800000000001</v>
      </c>
      <c r="I410" s="67">
        <f>13.3726 * CHOOSE(CONTROL!$C$23, $C$13, 100%, $E$13)</f>
        <v>13.3726</v>
      </c>
      <c r="J410" s="67">
        <f>7.3527 * CHOOSE(CONTROL!$C$23, $C$13, 100%, $E$13)</f>
        <v>7.3526999999999996</v>
      </c>
      <c r="K410" s="67">
        <f>7.3575 * CHOOSE(CONTROL!$C$23, $C$13, 100%, $E$13)</f>
        <v>7.3574999999999999</v>
      </c>
    </row>
    <row r="411" spans="1:11" ht="15">
      <c r="A411" s="13">
        <v>53632</v>
      </c>
      <c r="B411" s="66">
        <f>6.1207 * CHOOSE(CONTROL!$C$23, $C$13, 100%, $E$13)</f>
        <v>6.1207000000000003</v>
      </c>
      <c r="C411" s="66">
        <f>6.1207 * CHOOSE(CONTROL!$C$23, $C$13, 100%, $E$13)</f>
        <v>6.1207000000000003</v>
      </c>
      <c r="D411" s="66">
        <f>6.1246 * CHOOSE(CONTROL!$C$23, $C$13, 100%, $E$13)</f>
        <v>6.1246</v>
      </c>
      <c r="E411" s="67">
        <f>7.3794 * CHOOSE(CONTROL!$C$23, $C$13, 100%, $E$13)</f>
        <v>7.3794000000000004</v>
      </c>
      <c r="F411" s="67">
        <f>7.3794 * CHOOSE(CONTROL!$C$23, $C$13, 100%, $E$13)</f>
        <v>7.3794000000000004</v>
      </c>
      <c r="G411" s="67">
        <f>7.3842 * CHOOSE(CONTROL!$C$23, $C$13, 100%, $E$13)</f>
        <v>7.3841999999999999</v>
      </c>
      <c r="H411" s="67">
        <f>13.3957* CHOOSE(CONTROL!$C$23, $C$13, 100%, $E$13)</f>
        <v>13.3957</v>
      </c>
      <c r="I411" s="67">
        <f>13.4004 * CHOOSE(CONTROL!$C$23, $C$13, 100%, $E$13)</f>
        <v>13.400399999999999</v>
      </c>
      <c r="J411" s="67">
        <f>7.3794 * CHOOSE(CONTROL!$C$23, $C$13, 100%, $E$13)</f>
        <v>7.3794000000000004</v>
      </c>
      <c r="K411" s="67">
        <f>7.3842 * CHOOSE(CONTROL!$C$23, $C$13, 100%, $E$13)</f>
        <v>7.3841999999999999</v>
      </c>
    </row>
    <row r="412" spans="1:11" ht="15">
      <c r="A412" s="13">
        <v>53662</v>
      </c>
      <c r="B412" s="66">
        <f>6.1207 * CHOOSE(CONTROL!$C$23, $C$13, 100%, $E$13)</f>
        <v>6.1207000000000003</v>
      </c>
      <c r="C412" s="66">
        <f>6.1207 * CHOOSE(CONTROL!$C$23, $C$13, 100%, $E$13)</f>
        <v>6.1207000000000003</v>
      </c>
      <c r="D412" s="66">
        <f>6.1246 * CHOOSE(CONTROL!$C$23, $C$13, 100%, $E$13)</f>
        <v>6.1246</v>
      </c>
      <c r="E412" s="67">
        <f>7.318 * CHOOSE(CONTROL!$C$23, $C$13, 100%, $E$13)</f>
        <v>7.3179999999999996</v>
      </c>
      <c r="F412" s="67">
        <f>7.318 * CHOOSE(CONTROL!$C$23, $C$13, 100%, $E$13)</f>
        <v>7.3179999999999996</v>
      </c>
      <c r="G412" s="67">
        <f>7.3227 * CHOOSE(CONTROL!$C$23, $C$13, 100%, $E$13)</f>
        <v>7.3227000000000002</v>
      </c>
      <c r="H412" s="67">
        <f>13.4236* CHOOSE(CONTROL!$C$23, $C$13, 100%, $E$13)</f>
        <v>13.4236</v>
      </c>
      <c r="I412" s="67">
        <f>13.4284 * CHOOSE(CONTROL!$C$23, $C$13, 100%, $E$13)</f>
        <v>13.4284</v>
      </c>
      <c r="J412" s="67">
        <f>7.318 * CHOOSE(CONTROL!$C$23, $C$13, 100%, $E$13)</f>
        <v>7.3179999999999996</v>
      </c>
      <c r="K412" s="67">
        <f>7.3227 * CHOOSE(CONTROL!$C$23, $C$13, 100%, $E$13)</f>
        <v>7.3227000000000002</v>
      </c>
    </row>
    <row r="413" spans="1:11" ht="15">
      <c r="A413" s="13">
        <v>53693</v>
      </c>
      <c r="B413" s="66">
        <f>6.1742 * CHOOSE(CONTROL!$C$23, $C$13, 100%, $E$13)</f>
        <v>6.1741999999999999</v>
      </c>
      <c r="C413" s="66">
        <f>6.1742 * CHOOSE(CONTROL!$C$23, $C$13, 100%, $E$13)</f>
        <v>6.1741999999999999</v>
      </c>
      <c r="D413" s="66">
        <f>6.1781 * CHOOSE(CONTROL!$C$23, $C$13, 100%, $E$13)</f>
        <v>6.1780999999999997</v>
      </c>
      <c r="E413" s="67">
        <f>7.4222 * CHOOSE(CONTROL!$C$23, $C$13, 100%, $E$13)</f>
        <v>7.4222000000000001</v>
      </c>
      <c r="F413" s="67">
        <f>7.4222 * CHOOSE(CONTROL!$C$23, $C$13, 100%, $E$13)</f>
        <v>7.4222000000000001</v>
      </c>
      <c r="G413" s="67">
        <f>7.427 * CHOOSE(CONTROL!$C$23, $C$13, 100%, $E$13)</f>
        <v>7.4269999999999996</v>
      </c>
      <c r="H413" s="67">
        <f>13.4515* CHOOSE(CONTROL!$C$23, $C$13, 100%, $E$13)</f>
        <v>13.451499999999999</v>
      </c>
      <c r="I413" s="67">
        <f>13.4563 * CHOOSE(CONTROL!$C$23, $C$13, 100%, $E$13)</f>
        <v>13.456300000000001</v>
      </c>
      <c r="J413" s="67">
        <f>7.4222 * CHOOSE(CONTROL!$C$23, $C$13, 100%, $E$13)</f>
        <v>7.4222000000000001</v>
      </c>
      <c r="K413" s="67">
        <f>7.427 * CHOOSE(CONTROL!$C$23, $C$13, 100%, $E$13)</f>
        <v>7.4269999999999996</v>
      </c>
    </row>
    <row r="414" spans="1:11" ht="15">
      <c r="A414" s="13">
        <v>53724</v>
      </c>
      <c r="B414" s="66">
        <f>6.1712 * CHOOSE(CONTROL!$C$23, $C$13, 100%, $E$13)</f>
        <v>6.1711999999999998</v>
      </c>
      <c r="C414" s="66">
        <f>6.1712 * CHOOSE(CONTROL!$C$23, $C$13, 100%, $E$13)</f>
        <v>6.1711999999999998</v>
      </c>
      <c r="D414" s="66">
        <f>6.1751 * CHOOSE(CONTROL!$C$23, $C$13, 100%, $E$13)</f>
        <v>6.1750999999999996</v>
      </c>
      <c r="E414" s="67">
        <f>7.3006 * CHOOSE(CONTROL!$C$23, $C$13, 100%, $E$13)</f>
        <v>7.3006000000000002</v>
      </c>
      <c r="F414" s="67">
        <f>7.3006 * CHOOSE(CONTROL!$C$23, $C$13, 100%, $E$13)</f>
        <v>7.3006000000000002</v>
      </c>
      <c r="G414" s="67">
        <f>7.3054 * CHOOSE(CONTROL!$C$23, $C$13, 100%, $E$13)</f>
        <v>7.3053999999999997</v>
      </c>
      <c r="H414" s="67">
        <f>13.4796* CHOOSE(CONTROL!$C$23, $C$13, 100%, $E$13)</f>
        <v>13.4796</v>
      </c>
      <c r="I414" s="67">
        <f>13.4843 * CHOOSE(CONTROL!$C$23, $C$13, 100%, $E$13)</f>
        <v>13.484299999999999</v>
      </c>
      <c r="J414" s="67">
        <f>7.3006 * CHOOSE(CONTROL!$C$23, $C$13, 100%, $E$13)</f>
        <v>7.3006000000000002</v>
      </c>
      <c r="K414" s="67">
        <f>7.3054 * CHOOSE(CONTROL!$C$23, $C$13, 100%, $E$13)</f>
        <v>7.3053999999999997</v>
      </c>
    </row>
    <row r="415" spans="1:11" ht="15">
      <c r="A415" s="13">
        <v>53752</v>
      </c>
      <c r="B415" s="66">
        <f>6.1681 * CHOOSE(CONTROL!$C$23, $C$13, 100%, $E$13)</f>
        <v>6.1680999999999999</v>
      </c>
      <c r="C415" s="66">
        <f>6.1681 * CHOOSE(CONTROL!$C$23, $C$13, 100%, $E$13)</f>
        <v>6.1680999999999999</v>
      </c>
      <c r="D415" s="66">
        <f>6.172 * CHOOSE(CONTROL!$C$23, $C$13, 100%, $E$13)</f>
        <v>6.1719999999999997</v>
      </c>
      <c r="E415" s="67">
        <f>7.3927 * CHOOSE(CONTROL!$C$23, $C$13, 100%, $E$13)</f>
        <v>7.3926999999999996</v>
      </c>
      <c r="F415" s="67">
        <f>7.3927 * CHOOSE(CONTROL!$C$23, $C$13, 100%, $E$13)</f>
        <v>7.3926999999999996</v>
      </c>
      <c r="G415" s="67">
        <f>7.3974 * CHOOSE(CONTROL!$C$23, $C$13, 100%, $E$13)</f>
        <v>7.3974000000000002</v>
      </c>
      <c r="H415" s="67">
        <f>13.5077* CHOOSE(CONTROL!$C$23, $C$13, 100%, $E$13)</f>
        <v>13.5077</v>
      </c>
      <c r="I415" s="67">
        <f>13.5124 * CHOOSE(CONTROL!$C$23, $C$13, 100%, $E$13)</f>
        <v>13.5124</v>
      </c>
      <c r="J415" s="67">
        <f>7.3927 * CHOOSE(CONTROL!$C$23, $C$13, 100%, $E$13)</f>
        <v>7.3926999999999996</v>
      </c>
      <c r="K415" s="67">
        <f>7.3974 * CHOOSE(CONTROL!$C$23, $C$13, 100%, $E$13)</f>
        <v>7.3974000000000002</v>
      </c>
    </row>
    <row r="416" spans="1:11" ht="15">
      <c r="A416" s="13">
        <v>53783</v>
      </c>
      <c r="B416" s="66">
        <f>6.1677 * CHOOSE(CONTROL!$C$23, $C$13, 100%, $E$13)</f>
        <v>6.1677</v>
      </c>
      <c r="C416" s="66">
        <f>6.1677 * CHOOSE(CONTROL!$C$23, $C$13, 100%, $E$13)</f>
        <v>6.1677</v>
      </c>
      <c r="D416" s="66">
        <f>6.1715 * CHOOSE(CONTROL!$C$23, $C$13, 100%, $E$13)</f>
        <v>6.1715</v>
      </c>
      <c r="E416" s="67">
        <f>7.4896 * CHOOSE(CONTROL!$C$23, $C$13, 100%, $E$13)</f>
        <v>7.4896000000000003</v>
      </c>
      <c r="F416" s="67">
        <f>7.4896 * CHOOSE(CONTROL!$C$23, $C$13, 100%, $E$13)</f>
        <v>7.4896000000000003</v>
      </c>
      <c r="G416" s="67">
        <f>7.4943 * CHOOSE(CONTROL!$C$23, $C$13, 100%, $E$13)</f>
        <v>7.4943</v>
      </c>
      <c r="H416" s="67">
        <f>13.5358* CHOOSE(CONTROL!$C$23, $C$13, 100%, $E$13)</f>
        <v>13.5358</v>
      </c>
      <c r="I416" s="67">
        <f>13.5406 * CHOOSE(CONTROL!$C$23, $C$13, 100%, $E$13)</f>
        <v>13.5406</v>
      </c>
      <c r="J416" s="67">
        <f>7.4896 * CHOOSE(CONTROL!$C$23, $C$13, 100%, $E$13)</f>
        <v>7.4896000000000003</v>
      </c>
      <c r="K416" s="67">
        <f>7.4943 * CHOOSE(CONTROL!$C$23, $C$13, 100%, $E$13)</f>
        <v>7.4943</v>
      </c>
    </row>
    <row r="417" spans="1:11" ht="15">
      <c r="A417" s="13">
        <v>53813</v>
      </c>
      <c r="B417" s="66">
        <f>6.1677 * CHOOSE(CONTROL!$C$23, $C$13, 100%, $E$13)</f>
        <v>6.1677</v>
      </c>
      <c r="C417" s="66">
        <f>6.1677 * CHOOSE(CONTROL!$C$23, $C$13, 100%, $E$13)</f>
        <v>6.1677</v>
      </c>
      <c r="D417" s="66">
        <f>6.1732 * CHOOSE(CONTROL!$C$23, $C$13, 100%, $E$13)</f>
        <v>6.1731999999999996</v>
      </c>
      <c r="E417" s="67">
        <f>7.5275 * CHOOSE(CONTROL!$C$23, $C$13, 100%, $E$13)</f>
        <v>7.5274999999999999</v>
      </c>
      <c r="F417" s="67">
        <f>7.5275 * CHOOSE(CONTROL!$C$23, $C$13, 100%, $E$13)</f>
        <v>7.5274999999999999</v>
      </c>
      <c r="G417" s="67">
        <f>7.5342 * CHOOSE(CONTROL!$C$23, $C$13, 100%, $E$13)</f>
        <v>7.5342000000000002</v>
      </c>
      <c r="H417" s="67">
        <f>13.564* CHOOSE(CONTROL!$C$23, $C$13, 100%, $E$13)</f>
        <v>13.564</v>
      </c>
      <c r="I417" s="67">
        <f>13.5707 * CHOOSE(CONTROL!$C$23, $C$13, 100%, $E$13)</f>
        <v>13.5707</v>
      </c>
      <c r="J417" s="67">
        <f>7.5275 * CHOOSE(CONTROL!$C$23, $C$13, 100%, $E$13)</f>
        <v>7.5274999999999999</v>
      </c>
      <c r="K417" s="67">
        <f>7.5342 * CHOOSE(CONTROL!$C$23, $C$13, 100%, $E$13)</f>
        <v>7.5342000000000002</v>
      </c>
    </row>
    <row r="418" spans="1:11" ht="15">
      <c r="A418" s="13">
        <v>53844</v>
      </c>
      <c r="B418" s="66">
        <f>6.1737 * CHOOSE(CONTROL!$C$23, $C$13, 100%, $E$13)</f>
        <v>6.1737000000000002</v>
      </c>
      <c r="C418" s="66">
        <f>6.1737 * CHOOSE(CONTROL!$C$23, $C$13, 100%, $E$13)</f>
        <v>6.1737000000000002</v>
      </c>
      <c r="D418" s="66">
        <f>6.1793 * CHOOSE(CONTROL!$C$23, $C$13, 100%, $E$13)</f>
        <v>6.1792999999999996</v>
      </c>
      <c r="E418" s="67">
        <f>7.4938 * CHOOSE(CONTROL!$C$23, $C$13, 100%, $E$13)</f>
        <v>7.4938000000000002</v>
      </c>
      <c r="F418" s="67">
        <f>7.4938 * CHOOSE(CONTROL!$C$23, $C$13, 100%, $E$13)</f>
        <v>7.4938000000000002</v>
      </c>
      <c r="G418" s="67">
        <f>7.5005 * CHOOSE(CONTROL!$C$23, $C$13, 100%, $E$13)</f>
        <v>7.5004999999999997</v>
      </c>
      <c r="H418" s="67">
        <f>13.5923* CHOOSE(CONTROL!$C$23, $C$13, 100%, $E$13)</f>
        <v>13.5923</v>
      </c>
      <c r="I418" s="67">
        <f>13.599 * CHOOSE(CONTROL!$C$23, $C$13, 100%, $E$13)</f>
        <v>13.599</v>
      </c>
      <c r="J418" s="67">
        <f>7.4938 * CHOOSE(CONTROL!$C$23, $C$13, 100%, $E$13)</f>
        <v>7.4938000000000002</v>
      </c>
      <c r="K418" s="67">
        <f>7.5005 * CHOOSE(CONTROL!$C$23, $C$13, 100%, $E$13)</f>
        <v>7.5004999999999997</v>
      </c>
    </row>
    <row r="419" spans="1:11" ht="15">
      <c r="A419" s="13">
        <v>53874</v>
      </c>
      <c r="B419" s="66">
        <f>6.273 * CHOOSE(CONTROL!$C$23, $C$13, 100%, $E$13)</f>
        <v>6.2729999999999997</v>
      </c>
      <c r="C419" s="66">
        <f>6.273 * CHOOSE(CONTROL!$C$23, $C$13, 100%, $E$13)</f>
        <v>6.2729999999999997</v>
      </c>
      <c r="D419" s="66">
        <f>6.2785 * CHOOSE(CONTROL!$C$23, $C$13, 100%, $E$13)</f>
        <v>6.2785000000000002</v>
      </c>
      <c r="E419" s="67">
        <f>7.6192 * CHOOSE(CONTROL!$C$23, $C$13, 100%, $E$13)</f>
        <v>7.6192000000000002</v>
      </c>
      <c r="F419" s="67">
        <f>7.6192 * CHOOSE(CONTROL!$C$23, $C$13, 100%, $E$13)</f>
        <v>7.6192000000000002</v>
      </c>
      <c r="G419" s="67">
        <f>7.6259 * CHOOSE(CONTROL!$C$23, $C$13, 100%, $E$13)</f>
        <v>7.6258999999999997</v>
      </c>
      <c r="H419" s="67">
        <f>13.6206* CHOOSE(CONTROL!$C$23, $C$13, 100%, $E$13)</f>
        <v>13.6206</v>
      </c>
      <c r="I419" s="67">
        <f>13.6273 * CHOOSE(CONTROL!$C$23, $C$13, 100%, $E$13)</f>
        <v>13.6273</v>
      </c>
      <c r="J419" s="67">
        <f>7.6192 * CHOOSE(CONTROL!$C$23, $C$13, 100%, $E$13)</f>
        <v>7.6192000000000002</v>
      </c>
      <c r="K419" s="67">
        <f>7.6259 * CHOOSE(CONTROL!$C$23, $C$13, 100%, $E$13)</f>
        <v>7.6258999999999997</v>
      </c>
    </row>
    <row r="420" spans="1:11" ht="15">
      <c r="A420" s="13">
        <v>53905</v>
      </c>
      <c r="B420" s="66">
        <f>6.2797 * CHOOSE(CONTROL!$C$23, $C$13, 100%, $E$13)</f>
        <v>6.2797000000000001</v>
      </c>
      <c r="C420" s="66">
        <f>6.2797 * CHOOSE(CONTROL!$C$23, $C$13, 100%, $E$13)</f>
        <v>6.2797000000000001</v>
      </c>
      <c r="D420" s="66">
        <f>6.2852 * CHOOSE(CONTROL!$C$23, $C$13, 100%, $E$13)</f>
        <v>6.2851999999999997</v>
      </c>
      <c r="E420" s="67">
        <f>7.5101 * CHOOSE(CONTROL!$C$23, $C$13, 100%, $E$13)</f>
        <v>7.5101000000000004</v>
      </c>
      <c r="F420" s="67">
        <f>7.5101 * CHOOSE(CONTROL!$C$23, $C$13, 100%, $E$13)</f>
        <v>7.5101000000000004</v>
      </c>
      <c r="G420" s="67">
        <f>7.5168 * CHOOSE(CONTROL!$C$23, $C$13, 100%, $E$13)</f>
        <v>7.5167999999999999</v>
      </c>
      <c r="H420" s="67">
        <f>13.6489* CHOOSE(CONTROL!$C$23, $C$13, 100%, $E$13)</f>
        <v>13.648899999999999</v>
      </c>
      <c r="I420" s="67">
        <f>13.6557 * CHOOSE(CONTROL!$C$23, $C$13, 100%, $E$13)</f>
        <v>13.6557</v>
      </c>
      <c r="J420" s="67">
        <f>7.5101 * CHOOSE(CONTROL!$C$23, $C$13, 100%, $E$13)</f>
        <v>7.5101000000000004</v>
      </c>
      <c r="K420" s="67">
        <f>7.5168 * CHOOSE(CONTROL!$C$23, $C$13, 100%, $E$13)</f>
        <v>7.5167999999999999</v>
      </c>
    </row>
    <row r="421" spans="1:11" ht="15">
      <c r="A421" s="13">
        <v>53936</v>
      </c>
      <c r="B421" s="66">
        <f>6.2767 * CHOOSE(CONTROL!$C$23, $C$13, 100%, $E$13)</f>
        <v>6.2766999999999999</v>
      </c>
      <c r="C421" s="66">
        <f>6.2767 * CHOOSE(CONTROL!$C$23, $C$13, 100%, $E$13)</f>
        <v>6.2766999999999999</v>
      </c>
      <c r="D421" s="66">
        <f>6.2822 * CHOOSE(CONTROL!$C$23, $C$13, 100%, $E$13)</f>
        <v>6.2821999999999996</v>
      </c>
      <c r="E421" s="67">
        <f>7.4953 * CHOOSE(CONTROL!$C$23, $C$13, 100%, $E$13)</f>
        <v>7.4953000000000003</v>
      </c>
      <c r="F421" s="67">
        <f>7.4953 * CHOOSE(CONTROL!$C$23, $C$13, 100%, $E$13)</f>
        <v>7.4953000000000003</v>
      </c>
      <c r="G421" s="67">
        <f>7.5021 * CHOOSE(CONTROL!$C$23, $C$13, 100%, $E$13)</f>
        <v>7.5021000000000004</v>
      </c>
      <c r="H421" s="67">
        <f>13.6774* CHOOSE(CONTROL!$C$23, $C$13, 100%, $E$13)</f>
        <v>13.6774</v>
      </c>
      <c r="I421" s="67">
        <f>13.6841 * CHOOSE(CONTROL!$C$23, $C$13, 100%, $E$13)</f>
        <v>13.684100000000001</v>
      </c>
      <c r="J421" s="67">
        <f>7.4953 * CHOOSE(CONTROL!$C$23, $C$13, 100%, $E$13)</f>
        <v>7.4953000000000003</v>
      </c>
      <c r="K421" s="67">
        <f>7.5021 * CHOOSE(CONTROL!$C$23, $C$13, 100%, $E$13)</f>
        <v>7.5021000000000004</v>
      </c>
    </row>
    <row r="422" spans="1:11" ht="15">
      <c r="A422" s="13">
        <v>53966</v>
      </c>
      <c r="B422" s="66">
        <f>6.2793 * CHOOSE(CONTROL!$C$23, $C$13, 100%, $E$13)</f>
        <v>6.2793000000000001</v>
      </c>
      <c r="C422" s="66">
        <f>6.2793 * CHOOSE(CONTROL!$C$23, $C$13, 100%, $E$13)</f>
        <v>6.2793000000000001</v>
      </c>
      <c r="D422" s="66">
        <f>6.2832 * CHOOSE(CONTROL!$C$23, $C$13, 100%, $E$13)</f>
        <v>6.2831999999999999</v>
      </c>
      <c r="E422" s="67">
        <f>7.5325 * CHOOSE(CONTROL!$C$23, $C$13, 100%, $E$13)</f>
        <v>7.5324999999999998</v>
      </c>
      <c r="F422" s="67">
        <f>7.5325 * CHOOSE(CONTROL!$C$23, $C$13, 100%, $E$13)</f>
        <v>7.5324999999999998</v>
      </c>
      <c r="G422" s="67">
        <f>7.5372 * CHOOSE(CONTROL!$C$23, $C$13, 100%, $E$13)</f>
        <v>7.5372000000000003</v>
      </c>
      <c r="H422" s="67">
        <f>13.7059* CHOOSE(CONTROL!$C$23, $C$13, 100%, $E$13)</f>
        <v>13.7059</v>
      </c>
      <c r="I422" s="67">
        <f>13.7106 * CHOOSE(CONTROL!$C$23, $C$13, 100%, $E$13)</f>
        <v>13.710599999999999</v>
      </c>
      <c r="J422" s="67">
        <f>7.5325 * CHOOSE(CONTROL!$C$23, $C$13, 100%, $E$13)</f>
        <v>7.5324999999999998</v>
      </c>
      <c r="K422" s="67">
        <f>7.5372 * CHOOSE(CONTROL!$C$23, $C$13, 100%, $E$13)</f>
        <v>7.5372000000000003</v>
      </c>
    </row>
    <row r="423" spans="1:11" ht="15">
      <c r="A423" s="13">
        <v>53997</v>
      </c>
      <c r="B423" s="66">
        <f>6.2823 * CHOOSE(CONTROL!$C$23, $C$13, 100%, $E$13)</f>
        <v>6.2823000000000002</v>
      </c>
      <c r="C423" s="66">
        <f>6.2823 * CHOOSE(CONTROL!$C$23, $C$13, 100%, $E$13)</f>
        <v>6.2823000000000002</v>
      </c>
      <c r="D423" s="66">
        <f>6.2862 * CHOOSE(CONTROL!$C$23, $C$13, 100%, $E$13)</f>
        <v>6.2862</v>
      </c>
      <c r="E423" s="67">
        <f>7.5599 * CHOOSE(CONTROL!$C$23, $C$13, 100%, $E$13)</f>
        <v>7.5598999999999998</v>
      </c>
      <c r="F423" s="67">
        <f>7.5599 * CHOOSE(CONTROL!$C$23, $C$13, 100%, $E$13)</f>
        <v>7.5598999999999998</v>
      </c>
      <c r="G423" s="67">
        <f>7.5646 * CHOOSE(CONTROL!$C$23, $C$13, 100%, $E$13)</f>
        <v>7.5646000000000004</v>
      </c>
      <c r="H423" s="67">
        <f>13.7344* CHOOSE(CONTROL!$C$23, $C$13, 100%, $E$13)</f>
        <v>13.734400000000001</v>
      </c>
      <c r="I423" s="67">
        <f>13.7392 * CHOOSE(CONTROL!$C$23, $C$13, 100%, $E$13)</f>
        <v>13.7392</v>
      </c>
      <c r="J423" s="67">
        <f>7.5599 * CHOOSE(CONTROL!$C$23, $C$13, 100%, $E$13)</f>
        <v>7.5598999999999998</v>
      </c>
      <c r="K423" s="67">
        <f>7.5646 * CHOOSE(CONTROL!$C$23, $C$13, 100%, $E$13)</f>
        <v>7.5646000000000004</v>
      </c>
    </row>
    <row r="424" spans="1:11" ht="15">
      <c r="A424" s="13">
        <v>54027</v>
      </c>
      <c r="B424" s="66">
        <f>6.2823 * CHOOSE(CONTROL!$C$23, $C$13, 100%, $E$13)</f>
        <v>6.2823000000000002</v>
      </c>
      <c r="C424" s="66">
        <f>6.2823 * CHOOSE(CONTROL!$C$23, $C$13, 100%, $E$13)</f>
        <v>6.2823000000000002</v>
      </c>
      <c r="D424" s="66">
        <f>6.2862 * CHOOSE(CONTROL!$C$23, $C$13, 100%, $E$13)</f>
        <v>6.2862</v>
      </c>
      <c r="E424" s="67">
        <f>7.4967 * CHOOSE(CONTROL!$C$23, $C$13, 100%, $E$13)</f>
        <v>7.4966999999999997</v>
      </c>
      <c r="F424" s="67">
        <f>7.4967 * CHOOSE(CONTROL!$C$23, $C$13, 100%, $E$13)</f>
        <v>7.4966999999999997</v>
      </c>
      <c r="G424" s="67">
        <f>7.5014 * CHOOSE(CONTROL!$C$23, $C$13, 100%, $E$13)</f>
        <v>7.5014000000000003</v>
      </c>
      <c r="H424" s="67">
        <f>13.763* CHOOSE(CONTROL!$C$23, $C$13, 100%, $E$13)</f>
        <v>13.763</v>
      </c>
      <c r="I424" s="67">
        <f>13.7678 * CHOOSE(CONTROL!$C$23, $C$13, 100%, $E$13)</f>
        <v>13.767799999999999</v>
      </c>
      <c r="J424" s="67">
        <f>7.4967 * CHOOSE(CONTROL!$C$23, $C$13, 100%, $E$13)</f>
        <v>7.4966999999999997</v>
      </c>
      <c r="K424" s="67">
        <f>7.5014 * CHOOSE(CONTROL!$C$23, $C$13, 100%, $E$13)</f>
        <v>7.5014000000000003</v>
      </c>
    </row>
    <row r="425" spans="1:11" ht="15">
      <c r="A425" s="13">
        <v>54058</v>
      </c>
      <c r="B425" s="66">
        <f>6.3372 * CHOOSE(CONTROL!$C$23, $C$13, 100%, $E$13)</f>
        <v>6.3372000000000002</v>
      </c>
      <c r="C425" s="66">
        <f>6.3372 * CHOOSE(CONTROL!$C$23, $C$13, 100%, $E$13)</f>
        <v>6.3372000000000002</v>
      </c>
      <c r="D425" s="66">
        <f>6.341 * CHOOSE(CONTROL!$C$23, $C$13, 100%, $E$13)</f>
        <v>6.3410000000000002</v>
      </c>
      <c r="E425" s="67">
        <f>7.6035 * CHOOSE(CONTROL!$C$23, $C$13, 100%, $E$13)</f>
        <v>7.6035000000000004</v>
      </c>
      <c r="F425" s="67">
        <f>7.6035 * CHOOSE(CONTROL!$C$23, $C$13, 100%, $E$13)</f>
        <v>7.6035000000000004</v>
      </c>
      <c r="G425" s="67">
        <f>7.6083 * CHOOSE(CONTROL!$C$23, $C$13, 100%, $E$13)</f>
        <v>7.6082999999999998</v>
      </c>
      <c r="H425" s="67">
        <f>13.7917* CHOOSE(CONTROL!$C$23, $C$13, 100%, $E$13)</f>
        <v>13.791700000000001</v>
      </c>
      <c r="I425" s="67">
        <f>13.7965 * CHOOSE(CONTROL!$C$23, $C$13, 100%, $E$13)</f>
        <v>13.7965</v>
      </c>
      <c r="J425" s="67">
        <f>7.6035 * CHOOSE(CONTROL!$C$23, $C$13, 100%, $E$13)</f>
        <v>7.6035000000000004</v>
      </c>
      <c r="K425" s="67">
        <f>7.6083 * CHOOSE(CONTROL!$C$23, $C$13, 100%, $E$13)</f>
        <v>7.6082999999999998</v>
      </c>
    </row>
    <row r="426" spans="1:11" ht="15">
      <c r="A426" s="13">
        <v>54089</v>
      </c>
      <c r="B426" s="66">
        <f>6.3341 * CHOOSE(CONTROL!$C$23, $C$13, 100%, $E$13)</f>
        <v>6.3341000000000003</v>
      </c>
      <c r="C426" s="66">
        <f>6.3341 * CHOOSE(CONTROL!$C$23, $C$13, 100%, $E$13)</f>
        <v>6.3341000000000003</v>
      </c>
      <c r="D426" s="66">
        <f>6.338 * CHOOSE(CONTROL!$C$23, $C$13, 100%, $E$13)</f>
        <v>6.3380000000000001</v>
      </c>
      <c r="E426" s="67">
        <f>7.4786 * CHOOSE(CONTROL!$C$23, $C$13, 100%, $E$13)</f>
        <v>7.4786000000000001</v>
      </c>
      <c r="F426" s="67">
        <f>7.4786 * CHOOSE(CONTROL!$C$23, $C$13, 100%, $E$13)</f>
        <v>7.4786000000000001</v>
      </c>
      <c r="G426" s="67">
        <f>7.4834 * CHOOSE(CONTROL!$C$23, $C$13, 100%, $E$13)</f>
        <v>7.4833999999999996</v>
      </c>
      <c r="H426" s="67">
        <f>13.8204* CHOOSE(CONTROL!$C$23, $C$13, 100%, $E$13)</f>
        <v>13.820399999999999</v>
      </c>
      <c r="I426" s="67">
        <f>13.8252 * CHOOSE(CONTROL!$C$23, $C$13, 100%, $E$13)</f>
        <v>13.825200000000001</v>
      </c>
      <c r="J426" s="67">
        <f>7.4786 * CHOOSE(CONTROL!$C$23, $C$13, 100%, $E$13)</f>
        <v>7.4786000000000001</v>
      </c>
      <c r="K426" s="67">
        <f>7.4834 * CHOOSE(CONTROL!$C$23, $C$13, 100%, $E$13)</f>
        <v>7.4833999999999996</v>
      </c>
    </row>
    <row r="427" spans="1:11" ht="15">
      <c r="A427" s="13">
        <v>54118</v>
      </c>
      <c r="B427" s="66">
        <f>6.3311 * CHOOSE(CONTROL!$C$23, $C$13, 100%, $E$13)</f>
        <v>6.3311000000000002</v>
      </c>
      <c r="C427" s="66">
        <f>6.3311 * CHOOSE(CONTROL!$C$23, $C$13, 100%, $E$13)</f>
        <v>6.3311000000000002</v>
      </c>
      <c r="D427" s="66">
        <f>6.335 * CHOOSE(CONTROL!$C$23, $C$13, 100%, $E$13)</f>
        <v>6.335</v>
      </c>
      <c r="E427" s="67">
        <f>7.5733 * CHOOSE(CONTROL!$C$23, $C$13, 100%, $E$13)</f>
        <v>7.5732999999999997</v>
      </c>
      <c r="F427" s="67">
        <f>7.5733 * CHOOSE(CONTROL!$C$23, $C$13, 100%, $E$13)</f>
        <v>7.5732999999999997</v>
      </c>
      <c r="G427" s="67">
        <f>7.5781 * CHOOSE(CONTROL!$C$23, $C$13, 100%, $E$13)</f>
        <v>7.5781000000000001</v>
      </c>
      <c r="H427" s="67">
        <f>13.8492* CHOOSE(CONTROL!$C$23, $C$13, 100%, $E$13)</f>
        <v>13.8492</v>
      </c>
      <c r="I427" s="67">
        <f>13.854 * CHOOSE(CONTROL!$C$23, $C$13, 100%, $E$13)</f>
        <v>13.853999999999999</v>
      </c>
      <c r="J427" s="67">
        <f>7.5733 * CHOOSE(CONTROL!$C$23, $C$13, 100%, $E$13)</f>
        <v>7.5732999999999997</v>
      </c>
      <c r="K427" s="67">
        <f>7.5781 * CHOOSE(CONTROL!$C$23, $C$13, 100%, $E$13)</f>
        <v>7.5781000000000001</v>
      </c>
    </row>
    <row r="428" spans="1:11" ht="15">
      <c r="A428" s="13">
        <v>54149</v>
      </c>
      <c r="B428" s="66">
        <f>6.3307 * CHOOSE(CONTROL!$C$23, $C$13, 100%, $E$13)</f>
        <v>6.3307000000000002</v>
      </c>
      <c r="C428" s="66">
        <f>6.3307 * CHOOSE(CONTROL!$C$23, $C$13, 100%, $E$13)</f>
        <v>6.3307000000000002</v>
      </c>
      <c r="D428" s="66">
        <f>6.3346 * CHOOSE(CONTROL!$C$23, $C$13, 100%, $E$13)</f>
        <v>6.3346</v>
      </c>
      <c r="E428" s="67">
        <f>7.673 * CHOOSE(CONTROL!$C$23, $C$13, 100%, $E$13)</f>
        <v>7.673</v>
      </c>
      <c r="F428" s="67">
        <f>7.673 * CHOOSE(CONTROL!$C$23, $C$13, 100%, $E$13)</f>
        <v>7.673</v>
      </c>
      <c r="G428" s="67">
        <f>7.6778 * CHOOSE(CONTROL!$C$23, $C$13, 100%, $E$13)</f>
        <v>7.6778000000000004</v>
      </c>
      <c r="H428" s="67">
        <f>13.8781* CHOOSE(CONTROL!$C$23, $C$13, 100%, $E$13)</f>
        <v>13.8781</v>
      </c>
      <c r="I428" s="67">
        <f>13.8829 * CHOOSE(CONTROL!$C$23, $C$13, 100%, $E$13)</f>
        <v>13.882899999999999</v>
      </c>
      <c r="J428" s="67">
        <f>7.673 * CHOOSE(CONTROL!$C$23, $C$13, 100%, $E$13)</f>
        <v>7.673</v>
      </c>
      <c r="K428" s="67">
        <f>7.6778 * CHOOSE(CONTROL!$C$23, $C$13, 100%, $E$13)</f>
        <v>7.6778000000000004</v>
      </c>
    </row>
    <row r="429" spans="1:11" ht="15">
      <c r="A429" s="13">
        <v>54179</v>
      </c>
      <c r="B429" s="66">
        <f>6.3307 * CHOOSE(CONTROL!$C$23, $C$13, 100%, $E$13)</f>
        <v>6.3307000000000002</v>
      </c>
      <c r="C429" s="66">
        <f>6.3307 * CHOOSE(CONTROL!$C$23, $C$13, 100%, $E$13)</f>
        <v>6.3307000000000002</v>
      </c>
      <c r="D429" s="66">
        <f>6.3362 * CHOOSE(CONTROL!$C$23, $C$13, 100%, $E$13)</f>
        <v>6.3361999999999998</v>
      </c>
      <c r="E429" s="67">
        <f>7.712 * CHOOSE(CONTROL!$C$23, $C$13, 100%, $E$13)</f>
        <v>7.7119999999999997</v>
      </c>
      <c r="F429" s="67">
        <f>7.712 * CHOOSE(CONTROL!$C$23, $C$13, 100%, $E$13)</f>
        <v>7.7119999999999997</v>
      </c>
      <c r="G429" s="67">
        <f>7.7188 * CHOOSE(CONTROL!$C$23, $C$13, 100%, $E$13)</f>
        <v>7.7187999999999999</v>
      </c>
      <c r="H429" s="67">
        <f>13.907* CHOOSE(CONTROL!$C$23, $C$13, 100%, $E$13)</f>
        <v>13.907</v>
      </c>
      <c r="I429" s="67">
        <f>13.9137 * CHOOSE(CONTROL!$C$23, $C$13, 100%, $E$13)</f>
        <v>13.9137</v>
      </c>
      <c r="J429" s="67">
        <f>7.712 * CHOOSE(CONTROL!$C$23, $C$13, 100%, $E$13)</f>
        <v>7.7119999999999997</v>
      </c>
      <c r="K429" s="67">
        <f>7.7188 * CHOOSE(CONTROL!$C$23, $C$13, 100%, $E$13)</f>
        <v>7.7187999999999999</v>
      </c>
    </row>
    <row r="430" spans="1:11" ht="15">
      <c r="A430" s="13">
        <v>54210</v>
      </c>
      <c r="B430" s="66">
        <f>6.3368 * CHOOSE(CONTROL!$C$23, $C$13, 100%, $E$13)</f>
        <v>6.3368000000000002</v>
      </c>
      <c r="C430" s="66">
        <f>6.3368 * CHOOSE(CONTROL!$C$23, $C$13, 100%, $E$13)</f>
        <v>6.3368000000000002</v>
      </c>
      <c r="D430" s="66">
        <f>6.3423 * CHOOSE(CONTROL!$C$23, $C$13, 100%, $E$13)</f>
        <v>6.3422999999999998</v>
      </c>
      <c r="E430" s="67">
        <f>7.6773 * CHOOSE(CONTROL!$C$23, $C$13, 100%, $E$13)</f>
        <v>7.6772999999999998</v>
      </c>
      <c r="F430" s="67">
        <f>7.6773 * CHOOSE(CONTROL!$C$23, $C$13, 100%, $E$13)</f>
        <v>7.6772999999999998</v>
      </c>
      <c r="G430" s="67">
        <f>7.684 * CHOOSE(CONTROL!$C$23, $C$13, 100%, $E$13)</f>
        <v>7.6840000000000002</v>
      </c>
      <c r="H430" s="67">
        <f>13.936* CHOOSE(CONTROL!$C$23, $C$13, 100%, $E$13)</f>
        <v>13.936</v>
      </c>
      <c r="I430" s="67">
        <f>13.9427 * CHOOSE(CONTROL!$C$23, $C$13, 100%, $E$13)</f>
        <v>13.9427</v>
      </c>
      <c r="J430" s="67">
        <f>7.6773 * CHOOSE(CONTROL!$C$23, $C$13, 100%, $E$13)</f>
        <v>7.6772999999999998</v>
      </c>
      <c r="K430" s="67">
        <f>7.684 * CHOOSE(CONTROL!$C$23, $C$13, 100%, $E$13)</f>
        <v>7.6840000000000002</v>
      </c>
    </row>
    <row r="431" spans="1:11" ht="15">
      <c r="A431" s="13">
        <v>54240</v>
      </c>
      <c r="B431" s="66">
        <f>6.4385 * CHOOSE(CONTROL!$C$23, $C$13, 100%, $E$13)</f>
        <v>6.4385000000000003</v>
      </c>
      <c r="C431" s="66">
        <f>6.4385 * CHOOSE(CONTROL!$C$23, $C$13, 100%, $E$13)</f>
        <v>6.4385000000000003</v>
      </c>
      <c r="D431" s="66">
        <f>6.444 * CHOOSE(CONTROL!$C$23, $C$13, 100%, $E$13)</f>
        <v>6.444</v>
      </c>
      <c r="E431" s="67">
        <f>7.8054 * CHOOSE(CONTROL!$C$23, $C$13, 100%, $E$13)</f>
        <v>7.8053999999999997</v>
      </c>
      <c r="F431" s="67">
        <f>7.8054 * CHOOSE(CONTROL!$C$23, $C$13, 100%, $E$13)</f>
        <v>7.8053999999999997</v>
      </c>
      <c r="G431" s="67">
        <f>7.8122 * CHOOSE(CONTROL!$C$23, $C$13, 100%, $E$13)</f>
        <v>7.8121999999999998</v>
      </c>
      <c r="H431" s="67">
        <f>13.965* CHOOSE(CONTROL!$C$23, $C$13, 100%, $E$13)</f>
        <v>13.965</v>
      </c>
      <c r="I431" s="67">
        <f>13.9718 * CHOOSE(CONTROL!$C$23, $C$13, 100%, $E$13)</f>
        <v>13.9718</v>
      </c>
      <c r="J431" s="67">
        <f>7.8054 * CHOOSE(CONTROL!$C$23, $C$13, 100%, $E$13)</f>
        <v>7.8053999999999997</v>
      </c>
      <c r="K431" s="67">
        <f>7.8122 * CHOOSE(CONTROL!$C$23, $C$13, 100%, $E$13)</f>
        <v>7.8121999999999998</v>
      </c>
    </row>
    <row r="432" spans="1:11" ht="15">
      <c r="A432" s="13">
        <v>54271</v>
      </c>
      <c r="B432" s="66">
        <f>6.4451 * CHOOSE(CONTROL!$C$23, $C$13, 100%, $E$13)</f>
        <v>6.4451000000000001</v>
      </c>
      <c r="C432" s="66">
        <f>6.4451 * CHOOSE(CONTROL!$C$23, $C$13, 100%, $E$13)</f>
        <v>6.4451000000000001</v>
      </c>
      <c r="D432" s="66">
        <f>6.4506 * CHOOSE(CONTROL!$C$23, $C$13, 100%, $E$13)</f>
        <v>6.4505999999999997</v>
      </c>
      <c r="E432" s="67">
        <f>7.6932 * CHOOSE(CONTROL!$C$23, $C$13, 100%, $E$13)</f>
        <v>7.6932</v>
      </c>
      <c r="F432" s="67">
        <f>7.6932 * CHOOSE(CONTROL!$C$23, $C$13, 100%, $E$13)</f>
        <v>7.6932</v>
      </c>
      <c r="G432" s="67">
        <f>7.6999 * CHOOSE(CONTROL!$C$23, $C$13, 100%, $E$13)</f>
        <v>7.6999000000000004</v>
      </c>
      <c r="H432" s="67">
        <f>13.9941* CHOOSE(CONTROL!$C$23, $C$13, 100%, $E$13)</f>
        <v>13.9941</v>
      </c>
      <c r="I432" s="67">
        <f>14.0008 * CHOOSE(CONTROL!$C$23, $C$13, 100%, $E$13)</f>
        <v>14.0008</v>
      </c>
      <c r="J432" s="67">
        <f>7.6932 * CHOOSE(CONTROL!$C$23, $C$13, 100%, $E$13)</f>
        <v>7.6932</v>
      </c>
      <c r="K432" s="67">
        <f>7.6999 * CHOOSE(CONTROL!$C$23, $C$13, 100%, $E$13)</f>
        <v>7.6999000000000004</v>
      </c>
    </row>
    <row r="433" spans="1:11" ht="15">
      <c r="A433" s="13">
        <v>54302</v>
      </c>
      <c r="B433" s="66">
        <f>6.4421 * CHOOSE(CONTROL!$C$23, $C$13, 100%, $E$13)</f>
        <v>6.4420999999999999</v>
      </c>
      <c r="C433" s="66">
        <f>6.4421 * CHOOSE(CONTROL!$C$23, $C$13, 100%, $E$13)</f>
        <v>6.4420999999999999</v>
      </c>
      <c r="D433" s="66">
        <f>6.4476 * CHOOSE(CONTROL!$C$23, $C$13, 100%, $E$13)</f>
        <v>6.4476000000000004</v>
      </c>
      <c r="E433" s="67">
        <f>7.678 * CHOOSE(CONTROL!$C$23, $C$13, 100%, $E$13)</f>
        <v>7.6779999999999999</v>
      </c>
      <c r="F433" s="67">
        <f>7.678 * CHOOSE(CONTROL!$C$23, $C$13, 100%, $E$13)</f>
        <v>7.6779999999999999</v>
      </c>
      <c r="G433" s="67">
        <f>7.6848 * CHOOSE(CONTROL!$C$23, $C$13, 100%, $E$13)</f>
        <v>7.6848000000000001</v>
      </c>
      <c r="H433" s="67">
        <f>14.0233* CHOOSE(CONTROL!$C$23, $C$13, 100%, $E$13)</f>
        <v>14.023300000000001</v>
      </c>
      <c r="I433" s="67">
        <f>14.03 * CHOOSE(CONTROL!$C$23, $C$13, 100%, $E$13)</f>
        <v>14.03</v>
      </c>
      <c r="J433" s="67">
        <f>7.678 * CHOOSE(CONTROL!$C$23, $C$13, 100%, $E$13)</f>
        <v>7.6779999999999999</v>
      </c>
      <c r="K433" s="67">
        <f>7.6848 * CHOOSE(CONTROL!$C$23, $C$13, 100%, $E$13)</f>
        <v>7.6848000000000001</v>
      </c>
    </row>
    <row r="434" spans="1:11" ht="15">
      <c r="A434" s="13">
        <v>54332</v>
      </c>
      <c r="B434" s="66">
        <f>6.4452 * CHOOSE(CONTROL!$C$23, $C$13, 100%, $E$13)</f>
        <v>6.4451999999999998</v>
      </c>
      <c r="C434" s="66">
        <f>6.4452 * CHOOSE(CONTROL!$C$23, $C$13, 100%, $E$13)</f>
        <v>6.4451999999999998</v>
      </c>
      <c r="D434" s="66">
        <f>6.4491 * CHOOSE(CONTROL!$C$23, $C$13, 100%, $E$13)</f>
        <v>6.4490999999999996</v>
      </c>
      <c r="E434" s="67">
        <f>7.7166 * CHOOSE(CONTROL!$C$23, $C$13, 100%, $E$13)</f>
        <v>7.7165999999999997</v>
      </c>
      <c r="F434" s="67">
        <f>7.7166 * CHOOSE(CONTROL!$C$23, $C$13, 100%, $E$13)</f>
        <v>7.7165999999999997</v>
      </c>
      <c r="G434" s="67">
        <f>7.7214 * CHOOSE(CONTROL!$C$23, $C$13, 100%, $E$13)</f>
        <v>7.7214</v>
      </c>
      <c r="H434" s="67">
        <f>14.0525* CHOOSE(CONTROL!$C$23, $C$13, 100%, $E$13)</f>
        <v>14.0525</v>
      </c>
      <c r="I434" s="67">
        <f>14.0572 * CHOOSE(CONTROL!$C$23, $C$13, 100%, $E$13)</f>
        <v>14.0572</v>
      </c>
      <c r="J434" s="67">
        <f>7.7166 * CHOOSE(CONTROL!$C$23, $C$13, 100%, $E$13)</f>
        <v>7.7165999999999997</v>
      </c>
      <c r="K434" s="67">
        <f>7.7214 * CHOOSE(CONTROL!$C$23, $C$13, 100%, $E$13)</f>
        <v>7.7214</v>
      </c>
    </row>
    <row r="435" spans="1:11" ht="15">
      <c r="A435" s="13">
        <v>54363</v>
      </c>
      <c r="B435" s="66">
        <f>6.4483 * CHOOSE(CONTROL!$C$23, $C$13, 100%, $E$13)</f>
        <v>6.4482999999999997</v>
      </c>
      <c r="C435" s="66">
        <f>6.4483 * CHOOSE(CONTROL!$C$23, $C$13, 100%, $E$13)</f>
        <v>6.4482999999999997</v>
      </c>
      <c r="D435" s="66">
        <f>6.4521 * CHOOSE(CONTROL!$C$23, $C$13, 100%, $E$13)</f>
        <v>6.4520999999999997</v>
      </c>
      <c r="E435" s="67">
        <f>7.7447 * CHOOSE(CONTROL!$C$23, $C$13, 100%, $E$13)</f>
        <v>7.7446999999999999</v>
      </c>
      <c r="F435" s="67">
        <f>7.7447 * CHOOSE(CONTROL!$C$23, $C$13, 100%, $E$13)</f>
        <v>7.7446999999999999</v>
      </c>
      <c r="G435" s="67">
        <f>7.7495 * CHOOSE(CONTROL!$C$23, $C$13, 100%, $E$13)</f>
        <v>7.7495000000000003</v>
      </c>
      <c r="H435" s="67">
        <f>14.0818* CHOOSE(CONTROL!$C$23, $C$13, 100%, $E$13)</f>
        <v>14.081799999999999</v>
      </c>
      <c r="I435" s="67">
        <f>14.0865 * CHOOSE(CONTROL!$C$23, $C$13, 100%, $E$13)</f>
        <v>14.086499999999999</v>
      </c>
      <c r="J435" s="67">
        <f>7.7447 * CHOOSE(CONTROL!$C$23, $C$13, 100%, $E$13)</f>
        <v>7.7446999999999999</v>
      </c>
      <c r="K435" s="67">
        <f>7.7495 * CHOOSE(CONTROL!$C$23, $C$13, 100%, $E$13)</f>
        <v>7.7495000000000003</v>
      </c>
    </row>
    <row r="436" spans="1:11" ht="15">
      <c r="A436" s="13">
        <v>54393</v>
      </c>
      <c r="B436" s="66">
        <f>6.4483 * CHOOSE(CONTROL!$C$23, $C$13, 100%, $E$13)</f>
        <v>6.4482999999999997</v>
      </c>
      <c r="C436" s="66">
        <f>6.4483 * CHOOSE(CONTROL!$C$23, $C$13, 100%, $E$13)</f>
        <v>6.4482999999999997</v>
      </c>
      <c r="D436" s="66">
        <f>6.4521 * CHOOSE(CONTROL!$C$23, $C$13, 100%, $E$13)</f>
        <v>6.4520999999999997</v>
      </c>
      <c r="E436" s="67">
        <f>7.6797 * CHOOSE(CONTROL!$C$23, $C$13, 100%, $E$13)</f>
        <v>7.6797000000000004</v>
      </c>
      <c r="F436" s="67">
        <f>7.6797 * CHOOSE(CONTROL!$C$23, $C$13, 100%, $E$13)</f>
        <v>7.6797000000000004</v>
      </c>
      <c r="G436" s="67">
        <f>7.6845 * CHOOSE(CONTROL!$C$23, $C$13, 100%, $E$13)</f>
        <v>7.6844999999999999</v>
      </c>
      <c r="H436" s="67">
        <f>14.1111* CHOOSE(CONTROL!$C$23, $C$13, 100%, $E$13)</f>
        <v>14.1111</v>
      </c>
      <c r="I436" s="67">
        <f>14.1159 * CHOOSE(CONTROL!$C$23, $C$13, 100%, $E$13)</f>
        <v>14.1159</v>
      </c>
      <c r="J436" s="67">
        <f>7.6797 * CHOOSE(CONTROL!$C$23, $C$13, 100%, $E$13)</f>
        <v>7.6797000000000004</v>
      </c>
      <c r="K436" s="67">
        <f>7.6845 * CHOOSE(CONTROL!$C$23, $C$13, 100%, $E$13)</f>
        <v>7.6844999999999999</v>
      </c>
    </row>
    <row r="437" spans="1:11" ht="15">
      <c r="A437" s="13">
        <v>54424</v>
      </c>
      <c r="B437" s="66">
        <f>6.5044 * CHOOSE(CONTROL!$C$23, $C$13, 100%, $E$13)</f>
        <v>6.5044000000000004</v>
      </c>
      <c r="C437" s="66">
        <f>6.5044 * CHOOSE(CONTROL!$C$23, $C$13, 100%, $E$13)</f>
        <v>6.5044000000000004</v>
      </c>
      <c r="D437" s="66">
        <f>6.5083 * CHOOSE(CONTROL!$C$23, $C$13, 100%, $E$13)</f>
        <v>6.5083000000000002</v>
      </c>
      <c r="E437" s="67">
        <f>7.7893 * CHOOSE(CONTROL!$C$23, $C$13, 100%, $E$13)</f>
        <v>7.7892999999999999</v>
      </c>
      <c r="F437" s="67">
        <f>7.7893 * CHOOSE(CONTROL!$C$23, $C$13, 100%, $E$13)</f>
        <v>7.7892999999999999</v>
      </c>
      <c r="G437" s="67">
        <f>7.7941 * CHOOSE(CONTROL!$C$23, $C$13, 100%, $E$13)</f>
        <v>7.7941000000000003</v>
      </c>
      <c r="H437" s="67">
        <f>14.1405* CHOOSE(CONTROL!$C$23, $C$13, 100%, $E$13)</f>
        <v>14.140499999999999</v>
      </c>
      <c r="I437" s="67">
        <f>14.1453 * CHOOSE(CONTROL!$C$23, $C$13, 100%, $E$13)</f>
        <v>14.145300000000001</v>
      </c>
      <c r="J437" s="67">
        <f>7.7893 * CHOOSE(CONTROL!$C$23, $C$13, 100%, $E$13)</f>
        <v>7.7892999999999999</v>
      </c>
      <c r="K437" s="67">
        <f>7.7941 * CHOOSE(CONTROL!$C$23, $C$13, 100%, $E$13)</f>
        <v>7.7941000000000003</v>
      </c>
    </row>
    <row r="438" spans="1:11" ht="15">
      <c r="A438" s="13">
        <v>54455</v>
      </c>
      <c r="B438" s="66">
        <f>6.5014 * CHOOSE(CONTROL!$C$23, $C$13, 100%, $E$13)</f>
        <v>6.5014000000000003</v>
      </c>
      <c r="C438" s="66">
        <f>6.5014 * CHOOSE(CONTROL!$C$23, $C$13, 100%, $E$13)</f>
        <v>6.5014000000000003</v>
      </c>
      <c r="D438" s="66">
        <f>6.5053 * CHOOSE(CONTROL!$C$23, $C$13, 100%, $E$13)</f>
        <v>6.5053000000000001</v>
      </c>
      <c r="E438" s="67">
        <f>7.661 * CHOOSE(CONTROL!$C$23, $C$13, 100%, $E$13)</f>
        <v>7.6609999999999996</v>
      </c>
      <c r="F438" s="67">
        <f>7.661 * CHOOSE(CONTROL!$C$23, $C$13, 100%, $E$13)</f>
        <v>7.6609999999999996</v>
      </c>
      <c r="G438" s="67">
        <f>7.6658 * CHOOSE(CONTROL!$C$23, $C$13, 100%, $E$13)</f>
        <v>7.6657999999999999</v>
      </c>
      <c r="H438" s="67">
        <f>14.1699* CHOOSE(CONTROL!$C$23, $C$13, 100%, $E$13)</f>
        <v>14.1699</v>
      </c>
      <c r="I438" s="67">
        <f>14.1747 * CHOOSE(CONTROL!$C$23, $C$13, 100%, $E$13)</f>
        <v>14.1747</v>
      </c>
      <c r="J438" s="67">
        <f>7.661 * CHOOSE(CONTROL!$C$23, $C$13, 100%, $E$13)</f>
        <v>7.6609999999999996</v>
      </c>
      <c r="K438" s="67">
        <f>7.6658 * CHOOSE(CONTROL!$C$23, $C$13, 100%, $E$13)</f>
        <v>7.6657999999999999</v>
      </c>
    </row>
    <row r="439" spans="1:11" ht="15">
      <c r="A439" s="13">
        <v>54483</v>
      </c>
      <c r="B439" s="66">
        <f>6.4984 * CHOOSE(CONTROL!$C$23, $C$13, 100%, $E$13)</f>
        <v>6.4984000000000002</v>
      </c>
      <c r="C439" s="66">
        <f>6.4984 * CHOOSE(CONTROL!$C$23, $C$13, 100%, $E$13)</f>
        <v>6.4984000000000002</v>
      </c>
      <c r="D439" s="66">
        <f>6.5022 * CHOOSE(CONTROL!$C$23, $C$13, 100%, $E$13)</f>
        <v>6.5022000000000002</v>
      </c>
      <c r="E439" s="67">
        <f>7.7584 * CHOOSE(CONTROL!$C$23, $C$13, 100%, $E$13)</f>
        <v>7.7584</v>
      </c>
      <c r="F439" s="67">
        <f>7.7584 * CHOOSE(CONTROL!$C$23, $C$13, 100%, $E$13)</f>
        <v>7.7584</v>
      </c>
      <c r="G439" s="67">
        <f>7.7632 * CHOOSE(CONTROL!$C$23, $C$13, 100%, $E$13)</f>
        <v>7.7632000000000003</v>
      </c>
      <c r="H439" s="67">
        <f>14.1995* CHOOSE(CONTROL!$C$23, $C$13, 100%, $E$13)</f>
        <v>14.1995</v>
      </c>
      <c r="I439" s="67">
        <f>14.2042 * CHOOSE(CONTROL!$C$23, $C$13, 100%, $E$13)</f>
        <v>14.2042</v>
      </c>
      <c r="J439" s="67">
        <f>7.7584 * CHOOSE(CONTROL!$C$23, $C$13, 100%, $E$13)</f>
        <v>7.7584</v>
      </c>
      <c r="K439" s="67">
        <f>7.7632 * CHOOSE(CONTROL!$C$23, $C$13, 100%, $E$13)</f>
        <v>7.7632000000000003</v>
      </c>
    </row>
    <row r="440" spans="1:11" ht="15">
      <c r="A440" s="13">
        <v>54514</v>
      </c>
      <c r="B440" s="66">
        <f>6.4982 * CHOOSE(CONTROL!$C$23, $C$13, 100%, $E$13)</f>
        <v>6.4981999999999998</v>
      </c>
      <c r="C440" s="66">
        <f>6.4982 * CHOOSE(CONTROL!$C$23, $C$13, 100%, $E$13)</f>
        <v>6.4981999999999998</v>
      </c>
      <c r="D440" s="66">
        <f>6.502 * CHOOSE(CONTROL!$C$23, $C$13, 100%, $E$13)</f>
        <v>6.5019999999999998</v>
      </c>
      <c r="E440" s="67">
        <f>7.861 * CHOOSE(CONTROL!$C$23, $C$13, 100%, $E$13)</f>
        <v>7.8609999999999998</v>
      </c>
      <c r="F440" s="67">
        <f>7.861 * CHOOSE(CONTROL!$C$23, $C$13, 100%, $E$13)</f>
        <v>7.8609999999999998</v>
      </c>
      <c r="G440" s="67">
        <f>7.8658 * CHOOSE(CONTROL!$C$23, $C$13, 100%, $E$13)</f>
        <v>7.8658000000000001</v>
      </c>
      <c r="H440" s="67">
        <f>14.2291* CHOOSE(CONTROL!$C$23, $C$13, 100%, $E$13)</f>
        <v>14.229100000000001</v>
      </c>
      <c r="I440" s="67">
        <f>14.2338 * CHOOSE(CONTROL!$C$23, $C$13, 100%, $E$13)</f>
        <v>14.2338</v>
      </c>
      <c r="J440" s="67">
        <f>7.861 * CHOOSE(CONTROL!$C$23, $C$13, 100%, $E$13)</f>
        <v>7.8609999999999998</v>
      </c>
      <c r="K440" s="67">
        <f>7.8658 * CHOOSE(CONTROL!$C$23, $C$13, 100%, $E$13)</f>
        <v>7.8658000000000001</v>
      </c>
    </row>
    <row r="441" spans="1:11" ht="15">
      <c r="A441" s="13">
        <v>54544</v>
      </c>
      <c r="B441" s="66">
        <f>6.4982 * CHOOSE(CONTROL!$C$23, $C$13, 100%, $E$13)</f>
        <v>6.4981999999999998</v>
      </c>
      <c r="C441" s="66">
        <f>6.4982 * CHOOSE(CONTROL!$C$23, $C$13, 100%, $E$13)</f>
        <v>6.4981999999999998</v>
      </c>
      <c r="D441" s="66">
        <f>6.5037 * CHOOSE(CONTROL!$C$23, $C$13, 100%, $E$13)</f>
        <v>6.5037000000000003</v>
      </c>
      <c r="E441" s="67">
        <f>7.9011 * CHOOSE(CONTROL!$C$23, $C$13, 100%, $E$13)</f>
        <v>7.9010999999999996</v>
      </c>
      <c r="F441" s="67">
        <f>7.9011 * CHOOSE(CONTROL!$C$23, $C$13, 100%, $E$13)</f>
        <v>7.9010999999999996</v>
      </c>
      <c r="G441" s="67">
        <f>7.9078 * CHOOSE(CONTROL!$C$23, $C$13, 100%, $E$13)</f>
        <v>7.9077999999999999</v>
      </c>
      <c r="H441" s="67">
        <f>14.2587* CHOOSE(CONTROL!$C$23, $C$13, 100%, $E$13)</f>
        <v>14.258699999999999</v>
      </c>
      <c r="I441" s="67">
        <f>14.2654 * CHOOSE(CONTROL!$C$23, $C$13, 100%, $E$13)</f>
        <v>14.2654</v>
      </c>
      <c r="J441" s="67">
        <f>7.9011 * CHOOSE(CONTROL!$C$23, $C$13, 100%, $E$13)</f>
        <v>7.9010999999999996</v>
      </c>
      <c r="K441" s="67">
        <f>7.9078 * CHOOSE(CONTROL!$C$23, $C$13, 100%, $E$13)</f>
        <v>7.9077999999999999</v>
      </c>
    </row>
    <row r="442" spans="1:11" ht="15">
      <c r="A442" s="13">
        <v>54575</v>
      </c>
      <c r="B442" s="66">
        <f>6.5042 * CHOOSE(CONTROL!$C$23, $C$13, 100%, $E$13)</f>
        <v>6.5042</v>
      </c>
      <c r="C442" s="66">
        <f>6.5042 * CHOOSE(CONTROL!$C$23, $C$13, 100%, $E$13)</f>
        <v>6.5042</v>
      </c>
      <c r="D442" s="66">
        <f>6.5098 * CHOOSE(CONTROL!$C$23, $C$13, 100%, $E$13)</f>
        <v>6.5098000000000003</v>
      </c>
      <c r="E442" s="67">
        <f>7.8653 * CHOOSE(CONTROL!$C$23, $C$13, 100%, $E$13)</f>
        <v>7.8653000000000004</v>
      </c>
      <c r="F442" s="67">
        <f>7.8653 * CHOOSE(CONTROL!$C$23, $C$13, 100%, $E$13)</f>
        <v>7.8653000000000004</v>
      </c>
      <c r="G442" s="67">
        <f>7.872 * CHOOSE(CONTROL!$C$23, $C$13, 100%, $E$13)</f>
        <v>7.8719999999999999</v>
      </c>
      <c r="H442" s="67">
        <f>14.2884* CHOOSE(CONTROL!$C$23, $C$13, 100%, $E$13)</f>
        <v>14.288399999999999</v>
      </c>
      <c r="I442" s="67">
        <f>14.2951 * CHOOSE(CONTROL!$C$23, $C$13, 100%, $E$13)</f>
        <v>14.2951</v>
      </c>
      <c r="J442" s="67">
        <f>7.8653 * CHOOSE(CONTROL!$C$23, $C$13, 100%, $E$13)</f>
        <v>7.8653000000000004</v>
      </c>
      <c r="K442" s="67">
        <f>7.872 * CHOOSE(CONTROL!$C$23, $C$13, 100%, $E$13)</f>
        <v>7.8719999999999999</v>
      </c>
    </row>
    <row r="443" spans="1:11" ht="15">
      <c r="A443" s="13">
        <v>54605</v>
      </c>
      <c r="B443" s="66">
        <f>6.6083 * CHOOSE(CONTROL!$C$23, $C$13, 100%, $E$13)</f>
        <v>6.6082999999999998</v>
      </c>
      <c r="C443" s="66">
        <f>6.6083 * CHOOSE(CONTROL!$C$23, $C$13, 100%, $E$13)</f>
        <v>6.6082999999999998</v>
      </c>
      <c r="D443" s="66">
        <f>6.6138 * CHOOSE(CONTROL!$C$23, $C$13, 100%, $E$13)</f>
        <v>6.6138000000000003</v>
      </c>
      <c r="E443" s="67">
        <f>7.9963 * CHOOSE(CONTROL!$C$23, $C$13, 100%, $E$13)</f>
        <v>7.9962999999999997</v>
      </c>
      <c r="F443" s="67">
        <f>7.9963 * CHOOSE(CONTROL!$C$23, $C$13, 100%, $E$13)</f>
        <v>7.9962999999999997</v>
      </c>
      <c r="G443" s="67">
        <f>8.003 * CHOOSE(CONTROL!$C$23, $C$13, 100%, $E$13)</f>
        <v>8.0030000000000001</v>
      </c>
      <c r="H443" s="67">
        <f>14.3182* CHOOSE(CONTROL!$C$23, $C$13, 100%, $E$13)</f>
        <v>14.318199999999999</v>
      </c>
      <c r="I443" s="67">
        <f>14.3249 * CHOOSE(CONTROL!$C$23, $C$13, 100%, $E$13)</f>
        <v>14.3249</v>
      </c>
      <c r="J443" s="67">
        <f>7.9963 * CHOOSE(CONTROL!$C$23, $C$13, 100%, $E$13)</f>
        <v>7.9962999999999997</v>
      </c>
      <c r="K443" s="67">
        <f>8.003 * CHOOSE(CONTROL!$C$23, $C$13, 100%, $E$13)</f>
        <v>8.0030000000000001</v>
      </c>
    </row>
    <row r="444" spans="1:11" ht="15">
      <c r="A444" s="13">
        <v>54636</v>
      </c>
      <c r="B444" s="66">
        <f>6.615 * CHOOSE(CONTROL!$C$23, $C$13, 100%, $E$13)</f>
        <v>6.6150000000000002</v>
      </c>
      <c r="C444" s="66">
        <f>6.615 * CHOOSE(CONTROL!$C$23, $C$13, 100%, $E$13)</f>
        <v>6.6150000000000002</v>
      </c>
      <c r="D444" s="66">
        <f>6.6205 * CHOOSE(CONTROL!$C$23, $C$13, 100%, $E$13)</f>
        <v>6.6204999999999998</v>
      </c>
      <c r="E444" s="67">
        <f>7.8807 * CHOOSE(CONTROL!$C$23, $C$13, 100%, $E$13)</f>
        <v>7.8807</v>
      </c>
      <c r="F444" s="67">
        <f>7.8807 * CHOOSE(CONTROL!$C$23, $C$13, 100%, $E$13)</f>
        <v>7.8807</v>
      </c>
      <c r="G444" s="67">
        <f>7.8875 * CHOOSE(CONTROL!$C$23, $C$13, 100%, $E$13)</f>
        <v>7.8875000000000002</v>
      </c>
      <c r="H444" s="67">
        <f>14.348* CHOOSE(CONTROL!$C$23, $C$13, 100%, $E$13)</f>
        <v>14.348000000000001</v>
      </c>
      <c r="I444" s="67">
        <f>14.3547 * CHOOSE(CONTROL!$C$23, $C$13, 100%, $E$13)</f>
        <v>14.354699999999999</v>
      </c>
      <c r="J444" s="67">
        <f>7.8807 * CHOOSE(CONTROL!$C$23, $C$13, 100%, $E$13)</f>
        <v>7.8807</v>
      </c>
      <c r="K444" s="67">
        <f>7.8875 * CHOOSE(CONTROL!$C$23, $C$13, 100%, $E$13)</f>
        <v>7.8875000000000002</v>
      </c>
    </row>
    <row r="445" spans="1:11" ht="15">
      <c r="A445" s="13">
        <v>54667</v>
      </c>
      <c r="B445" s="66">
        <f>6.6119 * CHOOSE(CONTROL!$C$23, $C$13, 100%, $E$13)</f>
        <v>6.6119000000000003</v>
      </c>
      <c r="C445" s="66">
        <f>6.6119 * CHOOSE(CONTROL!$C$23, $C$13, 100%, $E$13)</f>
        <v>6.6119000000000003</v>
      </c>
      <c r="D445" s="66">
        <f>6.6174 * CHOOSE(CONTROL!$C$23, $C$13, 100%, $E$13)</f>
        <v>6.6173999999999999</v>
      </c>
      <c r="E445" s="67">
        <f>7.8653 * CHOOSE(CONTROL!$C$23, $C$13, 100%, $E$13)</f>
        <v>7.8653000000000004</v>
      </c>
      <c r="F445" s="67">
        <f>7.8653 * CHOOSE(CONTROL!$C$23, $C$13, 100%, $E$13)</f>
        <v>7.8653000000000004</v>
      </c>
      <c r="G445" s="67">
        <f>7.872 * CHOOSE(CONTROL!$C$23, $C$13, 100%, $E$13)</f>
        <v>7.8719999999999999</v>
      </c>
      <c r="H445" s="67">
        <f>14.3779* CHOOSE(CONTROL!$C$23, $C$13, 100%, $E$13)</f>
        <v>14.3779</v>
      </c>
      <c r="I445" s="67">
        <f>14.3846 * CHOOSE(CONTROL!$C$23, $C$13, 100%, $E$13)</f>
        <v>14.384600000000001</v>
      </c>
      <c r="J445" s="67">
        <f>7.8653 * CHOOSE(CONTROL!$C$23, $C$13, 100%, $E$13)</f>
        <v>7.8653000000000004</v>
      </c>
      <c r="K445" s="67">
        <f>7.872 * CHOOSE(CONTROL!$C$23, $C$13, 100%, $E$13)</f>
        <v>7.8719999999999999</v>
      </c>
    </row>
    <row r="446" spans="1:11" ht="15">
      <c r="A446" s="13">
        <v>54697</v>
      </c>
      <c r="B446" s="66">
        <f>6.6156 * CHOOSE(CONTROL!$C$23, $C$13, 100%, $E$13)</f>
        <v>6.6155999999999997</v>
      </c>
      <c r="C446" s="66">
        <f>6.6156 * CHOOSE(CONTROL!$C$23, $C$13, 100%, $E$13)</f>
        <v>6.6155999999999997</v>
      </c>
      <c r="D446" s="66">
        <f>6.6195 * CHOOSE(CONTROL!$C$23, $C$13, 100%, $E$13)</f>
        <v>6.6195000000000004</v>
      </c>
      <c r="E446" s="67">
        <f>7.9053 * CHOOSE(CONTROL!$C$23, $C$13, 100%, $E$13)</f>
        <v>7.9053000000000004</v>
      </c>
      <c r="F446" s="67">
        <f>7.9053 * CHOOSE(CONTROL!$C$23, $C$13, 100%, $E$13)</f>
        <v>7.9053000000000004</v>
      </c>
      <c r="G446" s="67">
        <f>7.91 * CHOOSE(CONTROL!$C$23, $C$13, 100%, $E$13)</f>
        <v>7.91</v>
      </c>
      <c r="H446" s="67">
        <f>14.4078* CHOOSE(CONTROL!$C$23, $C$13, 100%, $E$13)</f>
        <v>14.4078</v>
      </c>
      <c r="I446" s="67">
        <f>14.4126 * CHOOSE(CONTROL!$C$23, $C$13, 100%, $E$13)</f>
        <v>14.412599999999999</v>
      </c>
      <c r="J446" s="67">
        <f>7.9053 * CHOOSE(CONTROL!$C$23, $C$13, 100%, $E$13)</f>
        <v>7.9053000000000004</v>
      </c>
      <c r="K446" s="67">
        <f>7.91 * CHOOSE(CONTROL!$C$23, $C$13, 100%, $E$13)</f>
        <v>7.91</v>
      </c>
    </row>
    <row r="447" spans="1:11" ht="15">
      <c r="A447" s="13">
        <v>54728</v>
      </c>
      <c r="B447" s="66">
        <f>6.6186 * CHOOSE(CONTROL!$C$23, $C$13, 100%, $E$13)</f>
        <v>6.6185999999999998</v>
      </c>
      <c r="C447" s="66">
        <f>6.6186 * CHOOSE(CONTROL!$C$23, $C$13, 100%, $E$13)</f>
        <v>6.6185999999999998</v>
      </c>
      <c r="D447" s="66">
        <f>6.6225 * CHOOSE(CONTROL!$C$23, $C$13, 100%, $E$13)</f>
        <v>6.6224999999999996</v>
      </c>
      <c r="E447" s="67">
        <f>7.9341 * CHOOSE(CONTROL!$C$23, $C$13, 100%, $E$13)</f>
        <v>7.9340999999999999</v>
      </c>
      <c r="F447" s="67">
        <f>7.9341 * CHOOSE(CONTROL!$C$23, $C$13, 100%, $E$13)</f>
        <v>7.9340999999999999</v>
      </c>
      <c r="G447" s="67">
        <f>7.9389 * CHOOSE(CONTROL!$C$23, $C$13, 100%, $E$13)</f>
        <v>7.9389000000000003</v>
      </c>
      <c r="H447" s="67">
        <f>14.4379* CHOOSE(CONTROL!$C$23, $C$13, 100%, $E$13)</f>
        <v>14.437900000000001</v>
      </c>
      <c r="I447" s="67">
        <f>14.4426 * CHOOSE(CONTROL!$C$23, $C$13, 100%, $E$13)</f>
        <v>14.442600000000001</v>
      </c>
      <c r="J447" s="67">
        <f>7.9341 * CHOOSE(CONTROL!$C$23, $C$13, 100%, $E$13)</f>
        <v>7.9340999999999999</v>
      </c>
      <c r="K447" s="67">
        <f>7.9389 * CHOOSE(CONTROL!$C$23, $C$13, 100%, $E$13)</f>
        <v>7.9389000000000003</v>
      </c>
    </row>
    <row r="448" spans="1:11" ht="15">
      <c r="A448" s="13">
        <v>54758</v>
      </c>
      <c r="B448" s="66">
        <f>6.6186 * CHOOSE(CONTROL!$C$23, $C$13, 100%, $E$13)</f>
        <v>6.6185999999999998</v>
      </c>
      <c r="C448" s="66">
        <f>6.6186 * CHOOSE(CONTROL!$C$23, $C$13, 100%, $E$13)</f>
        <v>6.6185999999999998</v>
      </c>
      <c r="D448" s="66">
        <f>6.6225 * CHOOSE(CONTROL!$C$23, $C$13, 100%, $E$13)</f>
        <v>6.6224999999999996</v>
      </c>
      <c r="E448" s="67">
        <f>7.8673 * CHOOSE(CONTROL!$C$23, $C$13, 100%, $E$13)</f>
        <v>7.8673000000000002</v>
      </c>
      <c r="F448" s="67">
        <f>7.8673 * CHOOSE(CONTROL!$C$23, $C$13, 100%, $E$13)</f>
        <v>7.8673000000000002</v>
      </c>
      <c r="G448" s="67">
        <f>7.8721 * CHOOSE(CONTROL!$C$23, $C$13, 100%, $E$13)</f>
        <v>7.8720999999999997</v>
      </c>
      <c r="H448" s="67">
        <f>14.4679* CHOOSE(CONTROL!$C$23, $C$13, 100%, $E$13)</f>
        <v>14.4679</v>
      </c>
      <c r="I448" s="67">
        <f>14.4727 * CHOOSE(CONTROL!$C$23, $C$13, 100%, $E$13)</f>
        <v>14.4727</v>
      </c>
      <c r="J448" s="67">
        <f>7.8673 * CHOOSE(CONTROL!$C$23, $C$13, 100%, $E$13)</f>
        <v>7.8673000000000002</v>
      </c>
      <c r="K448" s="67">
        <f>7.8721 * CHOOSE(CONTROL!$C$23, $C$13, 100%, $E$13)</f>
        <v>7.8720999999999997</v>
      </c>
    </row>
    <row r="449" spans="1:11" ht="15">
      <c r="A449" s="13">
        <v>54789</v>
      </c>
      <c r="B449" s="66">
        <f>6.6762 * CHOOSE(CONTROL!$C$23, $C$13, 100%, $E$13)</f>
        <v>6.6761999999999997</v>
      </c>
      <c r="C449" s="66">
        <f>6.6762 * CHOOSE(CONTROL!$C$23, $C$13, 100%, $E$13)</f>
        <v>6.6761999999999997</v>
      </c>
      <c r="D449" s="66">
        <f>6.68 * CHOOSE(CONTROL!$C$23, $C$13, 100%, $E$13)</f>
        <v>6.68</v>
      </c>
      <c r="E449" s="67">
        <f>7.9797 * CHOOSE(CONTROL!$C$23, $C$13, 100%, $E$13)</f>
        <v>7.9797000000000002</v>
      </c>
      <c r="F449" s="67">
        <f>7.9797 * CHOOSE(CONTROL!$C$23, $C$13, 100%, $E$13)</f>
        <v>7.9797000000000002</v>
      </c>
      <c r="G449" s="67">
        <f>7.9845 * CHOOSE(CONTROL!$C$23, $C$13, 100%, $E$13)</f>
        <v>7.9844999999999997</v>
      </c>
      <c r="H449" s="67">
        <f>14.4981* CHOOSE(CONTROL!$C$23, $C$13, 100%, $E$13)</f>
        <v>14.498100000000001</v>
      </c>
      <c r="I449" s="67">
        <f>14.5028 * CHOOSE(CONTROL!$C$23, $C$13, 100%, $E$13)</f>
        <v>14.502800000000001</v>
      </c>
      <c r="J449" s="67">
        <f>7.9797 * CHOOSE(CONTROL!$C$23, $C$13, 100%, $E$13)</f>
        <v>7.9797000000000002</v>
      </c>
      <c r="K449" s="67">
        <f>7.9845 * CHOOSE(CONTROL!$C$23, $C$13, 100%, $E$13)</f>
        <v>7.9844999999999997</v>
      </c>
    </row>
    <row r="450" spans="1:11" ht="15">
      <c r="A450" s="13">
        <v>54820</v>
      </c>
      <c r="B450" s="66">
        <f>6.6731 * CHOOSE(CONTROL!$C$23, $C$13, 100%, $E$13)</f>
        <v>6.6730999999999998</v>
      </c>
      <c r="C450" s="66">
        <f>6.6731 * CHOOSE(CONTROL!$C$23, $C$13, 100%, $E$13)</f>
        <v>6.6730999999999998</v>
      </c>
      <c r="D450" s="66">
        <f>6.677 * CHOOSE(CONTROL!$C$23, $C$13, 100%, $E$13)</f>
        <v>6.6769999999999996</v>
      </c>
      <c r="E450" s="67">
        <f>7.8478 * CHOOSE(CONTROL!$C$23, $C$13, 100%, $E$13)</f>
        <v>7.8478000000000003</v>
      </c>
      <c r="F450" s="67">
        <f>7.8478 * CHOOSE(CONTROL!$C$23, $C$13, 100%, $E$13)</f>
        <v>7.8478000000000003</v>
      </c>
      <c r="G450" s="67">
        <f>7.8526 * CHOOSE(CONTROL!$C$23, $C$13, 100%, $E$13)</f>
        <v>7.8525999999999998</v>
      </c>
      <c r="H450" s="67">
        <f>14.5283* CHOOSE(CONTROL!$C$23, $C$13, 100%, $E$13)</f>
        <v>14.5283</v>
      </c>
      <c r="I450" s="67">
        <f>14.5331 * CHOOSE(CONTROL!$C$23, $C$13, 100%, $E$13)</f>
        <v>14.533099999999999</v>
      </c>
      <c r="J450" s="67">
        <f>7.8478 * CHOOSE(CONTROL!$C$23, $C$13, 100%, $E$13)</f>
        <v>7.8478000000000003</v>
      </c>
      <c r="K450" s="67">
        <f>7.8526 * CHOOSE(CONTROL!$C$23, $C$13, 100%, $E$13)</f>
        <v>7.8525999999999998</v>
      </c>
    </row>
    <row r="451" spans="1:11" ht="15">
      <c r="A451" s="13">
        <v>54848</v>
      </c>
      <c r="B451" s="66">
        <f>6.6701 * CHOOSE(CONTROL!$C$23, $C$13, 100%, $E$13)</f>
        <v>6.6700999999999997</v>
      </c>
      <c r="C451" s="66">
        <f>6.6701 * CHOOSE(CONTROL!$C$23, $C$13, 100%, $E$13)</f>
        <v>6.6700999999999997</v>
      </c>
      <c r="D451" s="66">
        <f>6.674 * CHOOSE(CONTROL!$C$23, $C$13, 100%, $E$13)</f>
        <v>6.6740000000000004</v>
      </c>
      <c r="E451" s="67">
        <f>7.948 * CHOOSE(CONTROL!$C$23, $C$13, 100%, $E$13)</f>
        <v>7.9480000000000004</v>
      </c>
      <c r="F451" s="67">
        <f>7.948 * CHOOSE(CONTROL!$C$23, $C$13, 100%, $E$13)</f>
        <v>7.9480000000000004</v>
      </c>
      <c r="G451" s="67">
        <f>7.9528 * CHOOSE(CONTROL!$C$23, $C$13, 100%, $E$13)</f>
        <v>7.9527999999999999</v>
      </c>
      <c r="H451" s="67">
        <f>14.5586* CHOOSE(CONTROL!$C$23, $C$13, 100%, $E$13)</f>
        <v>14.5586</v>
      </c>
      <c r="I451" s="67">
        <f>14.5633 * CHOOSE(CONTROL!$C$23, $C$13, 100%, $E$13)</f>
        <v>14.5633</v>
      </c>
      <c r="J451" s="67">
        <f>7.948 * CHOOSE(CONTROL!$C$23, $C$13, 100%, $E$13)</f>
        <v>7.9480000000000004</v>
      </c>
      <c r="K451" s="67">
        <f>7.9528 * CHOOSE(CONTROL!$C$23, $C$13, 100%, $E$13)</f>
        <v>7.9527999999999999</v>
      </c>
    </row>
    <row r="452" spans="1:11" ht="15">
      <c r="A452" s="13">
        <v>54879</v>
      </c>
      <c r="B452" s="66">
        <f>6.67 * CHOOSE(CONTROL!$C$23, $C$13, 100%, $E$13)</f>
        <v>6.67</v>
      </c>
      <c r="C452" s="66">
        <f>6.67 * CHOOSE(CONTROL!$C$23, $C$13, 100%, $E$13)</f>
        <v>6.67</v>
      </c>
      <c r="D452" s="66">
        <f>6.6739 * CHOOSE(CONTROL!$C$23, $C$13, 100%, $E$13)</f>
        <v>6.6738999999999997</v>
      </c>
      <c r="E452" s="67">
        <f>8.0536 * CHOOSE(CONTROL!$C$23, $C$13, 100%, $E$13)</f>
        <v>8.0535999999999994</v>
      </c>
      <c r="F452" s="67">
        <f>8.0536 * CHOOSE(CONTROL!$C$23, $C$13, 100%, $E$13)</f>
        <v>8.0535999999999994</v>
      </c>
      <c r="G452" s="67">
        <f>8.0584 * CHOOSE(CONTROL!$C$23, $C$13, 100%, $E$13)</f>
        <v>8.0584000000000007</v>
      </c>
      <c r="H452" s="67">
        <f>14.5889* CHOOSE(CONTROL!$C$23, $C$13, 100%, $E$13)</f>
        <v>14.588900000000001</v>
      </c>
      <c r="I452" s="67">
        <f>14.5937 * CHOOSE(CONTROL!$C$23, $C$13, 100%, $E$13)</f>
        <v>14.5937</v>
      </c>
      <c r="J452" s="67">
        <f>8.0536 * CHOOSE(CONTROL!$C$23, $C$13, 100%, $E$13)</f>
        <v>8.0535999999999994</v>
      </c>
      <c r="K452" s="67">
        <f>8.0584 * CHOOSE(CONTROL!$C$23, $C$13, 100%, $E$13)</f>
        <v>8.0584000000000007</v>
      </c>
    </row>
    <row r="453" spans="1:11" ht="15">
      <c r="A453" s="13">
        <v>54909</v>
      </c>
      <c r="B453" s="66">
        <f>6.67 * CHOOSE(CONTROL!$C$23, $C$13, 100%, $E$13)</f>
        <v>6.67</v>
      </c>
      <c r="C453" s="66">
        <f>6.67 * CHOOSE(CONTROL!$C$23, $C$13, 100%, $E$13)</f>
        <v>6.67</v>
      </c>
      <c r="D453" s="66">
        <f>6.6756 * CHOOSE(CONTROL!$C$23, $C$13, 100%, $E$13)</f>
        <v>6.6756000000000002</v>
      </c>
      <c r="E453" s="67">
        <f>8.0948 * CHOOSE(CONTROL!$C$23, $C$13, 100%, $E$13)</f>
        <v>8.0947999999999993</v>
      </c>
      <c r="F453" s="67">
        <f>8.0948 * CHOOSE(CONTROL!$C$23, $C$13, 100%, $E$13)</f>
        <v>8.0947999999999993</v>
      </c>
      <c r="G453" s="67">
        <f>8.1016 * CHOOSE(CONTROL!$C$23, $C$13, 100%, $E$13)</f>
        <v>8.1015999999999995</v>
      </c>
      <c r="H453" s="67">
        <f>14.6193* CHOOSE(CONTROL!$C$23, $C$13, 100%, $E$13)</f>
        <v>14.619300000000001</v>
      </c>
      <c r="I453" s="67">
        <f>14.626 * CHOOSE(CONTROL!$C$23, $C$13, 100%, $E$13)</f>
        <v>14.625999999999999</v>
      </c>
      <c r="J453" s="67">
        <f>8.0948 * CHOOSE(CONTROL!$C$23, $C$13, 100%, $E$13)</f>
        <v>8.0947999999999993</v>
      </c>
      <c r="K453" s="67">
        <f>8.1016 * CHOOSE(CONTROL!$C$23, $C$13, 100%, $E$13)</f>
        <v>8.1015999999999995</v>
      </c>
    </row>
    <row r="454" spans="1:11" ht="15">
      <c r="A454" s="13">
        <v>54940</v>
      </c>
      <c r="B454" s="66">
        <f>6.6761 * CHOOSE(CONTROL!$C$23, $C$13, 100%, $E$13)</f>
        <v>6.6760999999999999</v>
      </c>
      <c r="C454" s="66">
        <f>6.6761 * CHOOSE(CONTROL!$C$23, $C$13, 100%, $E$13)</f>
        <v>6.6760999999999999</v>
      </c>
      <c r="D454" s="66">
        <f>6.6816 * CHOOSE(CONTROL!$C$23, $C$13, 100%, $E$13)</f>
        <v>6.6816000000000004</v>
      </c>
      <c r="E454" s="67">
        <f>8.0579 * CHOOSE(CONTROL!$C$23, $C$13, 100%, $E$13)</f>
        <v>8.0579000000000001</v>
      </c>
      <c r="F454" s="67">
        <f>8.0579 * CHOOSE(CONTROL!$C$23, $C$13, 100%, $E$13)</f>
        <v>8.0579000000000001</v>
      </c>
      <c r="G454" s="67">
        <f>8.0646 * CHOOSE(CONTROL!$C$23, $C$13, 100%, $E$13)</f>
        <v>8.0646000000000004</v>
      </c>
      <c r="H454" s="67">
        <f>14.6497* CHOOSE(CONTROL!$C$23, $C$13, 100%, $E$13)</f>
        <v>14.649699999999999</v>
      </c>
      <c r="I454" s="67">
        <f>14.6565 * CHOOSE(CONTROL!$C$23, $C$13, 100%, $E$13)</f>
        <v>14.656499999999999</v>
      </c>
      <c r="J454" s="67">
        <f>8.0579 * CHOOSE(CONTROL!$C$23, $C$13, 100%, $E$13)</f>
        <v>8.0579000000000001</v>
      </c>
      <c r="K454" s="67">
        <f>8.0646 * CHOOSE(CONTROL!$C$23, $C$13, 100%, $E$13)</f>
        <v>8.0646000000000004</v>
      </c>
    </row>
    <row r="455" spans="1:11" ht="15">
      <c r="A455" s="13">
        <v>54970</v>
      </c>
      <c r="B455" s="66">
        <f>6.7826 * CHOOSE(CONTROL!$C$23, $C$13, 100%, $E$13)</f>
        <v>6.7826000000000004</v>
      </c>
      <c r="C455" s="66">
        <f>6.7826 * CHOOSE(CONTROL!$C$23, $C$13, 100%, $E$13)</f>
        <v>6.7826000000000004</v>
      </c>
      <c r="D455" s="66">
        <f>6.7881 * CHOOSE(CONTROL!$C$23, $C$13, 100%, $E$13)</f>
        <v>6.7881</v>
      </c>
      <c r="E455" s="67">
        <f>8.1919 * CHOOSE(CONTROL!$C$23, $C$13, 100%, $E$13)</f>
        <v>8.1919000000000004</v>
      </c>
      <c r="F455" s="67">
        <f>8.1919 * CHOOSE(CONTROL!$C$23, $C$13, 100%, $E$13)</f>
        <v>8.1919000000000004</v>
      </c>
      <c r="G455" s="67">
        <f>8.1986 * CHOOSE(CONTROL!$C$23, $C$13, 100%, $E$13)</f>
        <v>8.1986000000000008</v>
      </c>
      <c r="H455" s="67">
        <f>14.6803* CHOOSE(CONTROL!$C$23, $C$13, 100%, $E$13)</f>
        <v>14.680300000000001</v>
      </c>
      <c r="I455" s="67">
        <f>14.687 * CHOOSE(CONTROL!$C$23, $C$13, 100%, $E$13)</f>
        <v>14.686999999999999</v>
      </c>
      <c r="J455" s="67">
        <f>8.1919 * CHOOSE(CONTROL!$C$23, $C$13, 100%, $E$13)</f>
        <v>8.1919000000000004</v>
      </c>
      <c r="K455" s="67">
        <f>8.1986 * CHOOSE(CONTROL!$C$23, $C$13, 100%, $E$13)</f>
        <v>8.1986000000000008</v>
      </c>
    </row>
    <row r="456" spans="1:11" ht="15">
      <c r="A456" s="13">
        <v>55001</v>
      </c>
      <c r="B456" s="66">
        <f>6.7893 * CHOOSE(CONTROL!$C$23, $C$13, 100%, $E$13)</f>
        <v>6.7892999999999999</v>
      </c>
      <c r="C456" s="66">
        <f>6.7893 * CHOOSE(CONTROL!$C$23, $C$13, 100%, $E$13)</f>
        <v>6.7892999999999999</v>
      </c>
      <c r="D456" s="66">
        <f>6.7948 * CHOOSE(CONTROL!$C$23, $C$13, 100%, $E$13)</f>
        <v>6.7948000000000004</v>
      </c>
      <c r="E456" s="67">
        <f>8.0729 * CHOOSE(CONTROL!$C$23, $C$13, 100%, $E$13)</f>
        <v>8.0729000000000006</v>
      </c>
      <c r="F456" s="67">
        <f>8.0729 * CHOOSE(CONTROL!$C$23, $C$13, 100%, $E$13)</f>
        <v>8.0729000000000006</v>
      </c>
      <c r="G456" s="67">
        <f>8.0796 * CHOOSE(CONTROL!$C$23, $C$13, 100%, $E$13)</f>
        <v>8.0795999999999992</v>
      </c>
      <c r="H456" s="67">
        <f>14.7108* CHOOSE(CONTROL!$C$23, $C$13, 100%, $E$13)</f>
        <v>14.710800000000001</v>
      </c>
      <c r="I456" s="67">
        <f>14.7176 * CHOOSE(CONTROL!$C$23, $C$13, 100%, $E$13)</f>
        <v>14.717599999999999</v>
      </c>
      <c r="J456" s="67">
        <f>8.0729 * CHOOSE(CONTROL!$C$23, $C$13, 100%, $E$13)</f>
        <v>8.0729000000000006</v>
      </c>
      <c r="K456" s="67">
        <f>8.0796 * CHOOSE(CONTROL!$C$23, $C$13, 100%, $E$13)</f>
        <v>8.0795999999999992</v>
      </c>
    </row>
    <row r="457" spans="1:11" ht="15">
      <c r="A457" s="13">
        <v>55032</v>
      </c>
      <c r="B457" s="66">
        <f>6.7863 * CHOOSE(CONTROL!$C$23, $C$13, 100%, $E$13)</f>
        <v>6.7862999999999998</v>
      </c>
      <c r="C457" s="66">
        <f>6.7863 * CHOOSE(CONTROL!$C$23, $C$13, 100%, $E$13)</f>
        <v>6.7862999999999998</v>
      </c>
      <c r="D457" s="66">
        <f>6.7918 * CHOOSE(CONTROL!$C$23, $C$13, 100%, $E$13)</f>
        <v>6.7918000000000003</v>
      </c>
      <c r="E457" s="67">
        <f>8.0571 * CHOOSE(CONTROL!$C$23, $C$13, 100%, $E$13)</f>
        <v>8.0571000000000002</v>
      </c>
      <c r="F457" s="67">
        <f>8.0571 * CHOOSE(CONTROL!$C$23, $C$13, 100%, $E$13)</f>
        <v>8.0571000000000002</v>
      </c>
      <c r="G457" s="67">
        <f>8.0638 * CHOOSE(CONTROL!$C$23, $C$13, 100%, $E$13)</f>
        <v>8.0638000000000005</v>
      </c>
      <c r="H457" s="67">
        <f>14.7415* CHOOSE(CONTROL!$C$23, $C$13, 100%, $E$13)</f>
        <v>14.7415</v>
      </c>
      <c r="I457" s="67">
        <f>14.7482 * CHOOSE(CONTROL!$C$23, $C$13, 100%, $E$13)</f>
        <v>14.748200000000001</v>
      </c>
      <c r="J457" s="67">
        <f>8.0571 * CHOOSE(CONTROL!$C$23, $C$13, 100%, $E$13)</f>
        <v>8.0571000000000002</v>
      </c>
      <c r="K457" s="67">
        <f>8.0638 * CHOOSE(CONTROL!$C$23, $C$13, 100%, $E$13)</f>
        <v>8.0638000000000005</v>
      </c>
    </row>
    <row r="458" spans="1:11" ht="15">
      <c r="A458" s="13">
        <v>55062</v>
      </c>
      <c r="B458" s="66">
        <f>6.7905 * CHOOSE(CONTROL!$C$23, $C$13, 100%, $E$13)</f>
        <v>6.7904999999999998</v>
      </c>
      <c r="C458" s="66">
        <f>6.7905 * CHOOSE(CONTROL!$C$23, $C$13, 100%, $E$13)</f>
        <v>6.7904999999999998</v>
      </c>
      <c r="D458" s="66">
        <f>6.7944 * CHOOSE(CONTROL!$C$23, $C$13, 100%, $E$13)</f>
        <v>6.7944000000000004</v>
      </c>
      <c r="E458" s="67">
        <f>8.0986 * CHOOSE(CONTROL!$C$23, $C$13, 100%, $E$13)</f>
        <v>8.0985999999999994</v>
      </c>
      <c r="F458" s="67">
        <f>8.0986 * CHOOSE(CONTROL!$C$23, $C$13, 100%, $E$13)</f>
        <v>8.0985999999999994</v>
      </c>
      <c r="G458" s="67">
        <f>8.1033 * CHOOSE(CONTROL!$C$23, $C$13, 100%, $E$13)</f>
        <v>8.1033000000000008</v>
      </c>
      <c r="H458" s="67">
        <f>14.7722* CHOOSE(CONTROL!$C$23, $C$13, 100%, $E$13)</f>
        <v>14.7722</v>
      </c>
      <c r="I458" s="67">
        <f>14.777 * CHOOSE(CONTROL!$C$23, $C$13, 100%, $E$13)</f>
        <v>14.776999999999999</v>
      </c>
      <c r="J458" s="67">
        <f>8.0986 * CHOOSE(CONTROL!$C$23, $C$13, 100%, $E$13)</f>
        <v>8.0985999999999994</v>
      </c>
      <c r="K458" s="67">
        <f>8.1033 * CHOOSE(CONTROL!$C$23, $C$13, 100%, $E$13)</f>
        <v>8.1033000000000008</v>
      </c>
    </row>
    <row r="459" spans="1:11" ht="15">
      <c r="A459" s="13">
        <v>55093</v>
      </c>
      <c r="B459" s="66">
        <f>6.7936 * CHOOSE(CONTROL!$C$23, $C$13, 100%, $E$13)</f>
        <v>6.7935999999999996</v>
      </c>
      <c r="C459" s="66">
        <f>6.7936 * CHOOSE(CONTROL!$C$23, $C$13, 100%, $E$13)</f>
        <v>6.7935999999999996</v>
      </c>
      <c r="D459" s="66">
        <f>6.7974 * CHOOSE(CONTROL!$C$23, $C$13, 100%, $E$13)</f>
        <v>6.7973999999999997</v>
      </c>
      <c r="E459" s="67">
        <f>8.1282 * CHOOSE(CONTROL!$C$23, $C$13, 100%, $E$13)</f>
        <v>8.1281999999999996</v>
      </c>
      <c r="F459" s="67">
        <f>8.1282 * CHOOSE(CONTROL!$C$23, $C$13, 100%, $E$13)</f>
        <v>8.1281999999999996</v>
      </c>
      <c r="G459" s="67">
        <f>8.1329 * CHOOSE(CONTROL!$C$23, $C$13, 100%, $E$13)</f>
        <v>8.1328999999999994</v>
      </c>
      <c r="H459" s="67">
        <f>14.803* CHOOSE(CONTROL!$C$23, $C$13, 100%, $E$13)</f>
        <v>14.803000000000001</v>
      </c>
      <c r="I459" s="67">
        <f>14.8077 * CHOOSE(CONTROL!$C$23, $C$13, 100%, $E$13)</f>
        <v>14.807700000000001</v>
      </c>
      <c r="J459" s="67">
        <f>8.1282 * CHOOSE(CONTROL!$C$23, $C$13, 100%, $E$13)</f>
        <v>8.1281999999999996</v>
      </c>
      <c r="K459" s="67">
        <f>8.1329 * CHOOSE(CONTROL!$C$23, $C$13, 100%, $E$13)</f>
        <v>8.1328999999999994</v>
      </c>
    </row>
    <row r="460" spans="1:11" ht="15">
      <c r="A460" s="13">
        <v>55123</v>
      </c>
      <c r="B460" s="66">
        <f>6.7936 * CHOOSE(CONTROL!$C$23, $C$13, 100%, $E$13)</f>
        <v>6.7935999999999996</v>
      </c>
      <c r="C460" s="66">
        <f>6.7936 * CHOOSE(CONTROL!$C$23, $C$13, 100%, $E$13)</f>
        <v>6.7935999999999996</v>
      </c>
      <c r="D460" s="66">
        <f>6.7974 * CHOOSE(CONTROL!$C$23, $C$13, 100%, $E$13)</f>
        <v>6.7973999999999997</v>
      </c>
      <c r="E460" s="67">
        <f>8.0595 * CHOOSE(CONTROL!$C$23, $C$13, 100%, $E$13)</f>
        <v>8.0594999999999999</v>
      </c>
      <c r="F460" s="67">
        <f>8.0595 * CHOOSE(CONTROL!$C$23, $C$13, 100%, $E$13)</f>
        <v>8.0594999999999999</v>
      </c>
      <c r="G460" s="67">
        <f>8.0643 * CHOOSE(CONTROL!$C$23, $C$13, 100%, $E$13)</f>
        <v>8.0642999999999994</v>
      </c>
      <c r="H460" s="67">
        <f>14.8338* CHOOSE(CONTROL!$C$23, $C$13, 100%, $E$13)</f>
        <v>14.8338</v>
      </c>
      <c r="I460" s="67">
        <f>14.8386 * CHOOSE(CONTROL!$C$23, $C$13, 100%, $E$13)</f>
        <v>14.8386</v>
      </c>
      <c r="J460" s="67">
        <f>8.0595 * CHOOSE(CONTROL!$C$23, $C$13, 100%, $E$13)</f>
        <v>8.0594999999999999</v>
      </c>
      <c r="K460" s="67">
        <f>8.0643 * CHOOSE(CONTROL!$C$23, $C$13, 100%, $E$13)</f>
        <v>8.0642999999999994</v>
      </c>
    </row>
    <row r="461" spans="1:11" ht="15">
      <c r="A461" s="13">
        <v>55154</v>
      </c>
      <c r="B461" s="66">
        <f>6.8525 * CHOOSE(CONTROL!$C$23, $C$13, 100%, $E$13)</f>
        <v>6.8525</v>
      </c>
      <c r="C461" s="66">
        <f>6.8525 * CHOOSE(CONTROL!$C$23, $C$13, 100%, $E$13)</f>
        <v>6.8525</v>
      </c>
      <c r="D461" s="66">
        <f>6.8564 * CHOOSE(CONTROL!$C$23, $C$13, 100%, $E$13)</f>
        <v>6.8563999999999998</v>
      </c>
      <c r="E461" s="67">
        <f>8.1748 * CHOOSE(CONTROL!$C$23, $C$13, 100%, $E$13)</f>
        <v>8.1747999999999994</v>
      </c>
      <c r="F461" s="67">
        <f>8.1748 * CHOOSE(CONTROL!$C$23, $C$13, 100%, $E$13)</f>
        <v>8.1747999999999994</v>
      </c>
      <c r="G461" s="67">
        <f>8.1795 * CHOOSE(CONTROL!$C$23, $C$13, 100%, $E$13)</f>
        <v>8.1795000000000009</v>
      </c>
      <c r="H461" s="67">
        <f>14.8647* CHOOSE(CONTROL!$C$23, $C$13, 100%, $E$13)</f>
        <v>14.864699999999999</v>
      </c>
      <c r="I461" s="67">
        <f>14.8695 * CHOOSE(CONTROL!$C$23, $C$13, 100%, $E$13)</f>
        <v>14.8695</v>
      </c>
      <c r="J461" s="67">
        <f>8.1748 * CHOOSE(CONTROL!$C$23, $C$13, 100%, $E$13)</f>
        <v>8.1747999999999994</v>
      </c>
      <c r="K461" s="67">
        <f>8.1795 * CHOOSE(CONTROL!$C$23, $C$13, 100%, $E$13)</f>
        <v>8.1795000000000009</v>
      </c>
    </row>
    <row r="462" spans="1:11" ht="15">
      <c r="A462" s="13">
        <v>55185</v>
      </c>
      <c r="B462" s="66">
        <f>6.8495 * CHOOSE(CONTROL!$C$23, $C$13, 100%, $E$13)</f>
        <v>6.8494999999999999</v>
      </c>
      <c r="C462" s="66">
        <f>6.8495 * CHOOSE(CONTROL!$C$23, $C$13, 100%, $E$13)</f>
        <v>6.8494999999999999</v>
      </c>
      <c r="D462" s="66">
        <f>6.8533 * CHOOSE(CONTROL!$C$23, $C$13, 100%, $E$13)</f>
        <v>6.8532999999999999</v>
      </c>
      <c r="E462" s="67">
        <f>8.0392 * CHOOSE(CONTROL!$C$23, $C$13, 100%, $E$13)</f>
        <v>8.0391999999999992</v>
      </c>
      <c r="F462" s="67">
        <f>8.0392 * CHOOSE(CONTROL!$C$23, $C$13, 100%, $E$13)</f>
        <v>8.0391999999999992</v>
      </c>
      <c r="G462" s="67">
        <f>8.044 * CHOOSE(CONTROL!$C$23, $C$13, 100%, $E$13)</f>
        <v>8.0440000000000005</v>
      </c>
      <c r="H462" s="67">
        <f>14.8957* CHOOSE(CONTROL!$C$23, $C$13, 100%, $E$13)</f>
        <v>14.8957</v>
      </c>
      <c r="I462" s="67">
        <f>14.9005 * CHOOSE(CONTROL!$C$23, $C$13, 100%, $E$13)</f>
        <v>14.900499999999999</v>
      </c>
      <c r="J462" s="67">
        <f>8.0392 * CHOOSE(CONTROL!$C$23, $C$13, 100%, $E$13)</f>
        <v>8.0391999999999992</v>
      </c>
      <c r="K462" s="67">
        <f>8.044 * CHOOSE(CONTROL!$C$23, $C$13, 100%, $E$13)</f>
        <v>8.0440000000000005</v>
      </c>
    </row>
    <row r="463" spans="1:11" ht="15">
      <c r="A463" s="13">
        <v>55213</v>
      </c>
      <c r="B463" s="66">
        <f>6.8464 * CHOOSE(CONTROL!$C$23, $C$13, 100%, $E$13)</f>
        <v>6.8464</v>
      </c>
      <c r="C463" s="66">
        <f>6.8464 * CHOOSE(CONTROL!$C$23, $C$13, 100%, $E$13)</f>
        <v>6.8464</v>
      </c>
      <c r="D463" s="66">
        <f>6.8503 * CHOOSE(CONTROL!$C$23, $C$13, 100%, $E$13)</f>
        <v>6.8502999999999998</v>
      </c>
      <c r="E463" s="67">
        <f>8.1423 * CHOOSE(CONTROL!$C$23, $C$13, 100%, $E$13)</f>
        <v>8.1423000000000005</v>
      </c>
      <c r="F463" s="67">
        <f>8.1423 * CHOOSE(CONTROL!$C$23, $C$13, 100%, $E$13)</f>
        <v>8.1423000000000005</v>
      </c>
      <c r="G463" s="67">
        <f>8.147 * CHOOSE(CONTROL!$C$23, $C$13, 100%, $E$13)</f>
        <v>8.1470000000000002</v>
      </c>
      <c r="H463" s="67">
        <f>14.9267* CHOOSE(CONTROL!$C$23, $C$13, 100%, $E$13)</f>
        <v>14.9267</v>
      </c>
      <c r="I463" s="67">
        <f>14.9315 * CHOOSE(CONTROL!$C$23, $C$13, 100%, $E$13)</f>
        <v>14.9315</v>
      </c>
      <c r="J463" s="67">
        <f>8.1423 * CHOOSE(CONTROL!$C$23, $C$13, 100%, $E$13)</f>
        <v>8.1423000000000005</v>
      </c>
      <c r="K463" s="67">
        <f>8.147 * CHOOSE(CONTROL!$C$23, $C$13, 100%, $E$13)</f>
        <v>8.1470000000000002</v>
      </c>
    </row>
    <row r="464" spans="1:11" ht="15">
      <c r="A464" s="13">
        <v>55244</v>
      </c>
      <c r="B464" s="66">
        <f>6.8465 * CHOOSE(CONTROL!$C$23, $C$13, 100%, $E$13)</f>
        <v>6.8464999999999998</v>
      </c>
      <c r="C464" s="66">
        <f>6.8465 * CHOOSE(CONTROL!$C$23, $C$13, 100%, $E$13)</f>
        <v>6.8464999999999998</v>
      </c>
      <c r="D464" s="66">
        <f>6.8504 * CHOOSE(CONTROL!$C$23, $C$13, 100%, $E$13)</f>
        <v>6.8503999999999996</v>
      </c>
      <c r="E464" s="67">
        <f>8.251 * CHOOSE(CONTROL!$C$23, $C$13, 100%, $E$13)</f>
        <v>8.2509999999999994</v>
      </c>
      <c r="F464" s="67">
        <f>8.251 * CHOOSE(CONTROL!$C$23, $C$13, 100%, $E$13)</f>
        <v>8.2509999999999994</v>
      </c>
      <c r="G464" s="67">
        <f>8.2558 * CHOOSE(CONTROL!$C$23, $C$13, 100%, $E$13)</f>
        <v>8.2558000000000007</v>
      </c>
      <c r="H464" s="67">
        <f>14.9578* CHOOSE(CONTROL!$C$23, $C$13, 100%, $E$13)</f>
        <v>14.957800000000001</v>
      </c>
      <c r="I464" s="67">
        <f>14.9626 * CHOOSE(CONTROL!$C$23, $C$13, 100%, $E$13)</f>
        <v>14.9626</v>
      </c>
      <c r="J464" s="67">
        <f>8.251 * CHOOSE(CONTROL!$C$23, $C$13, 100%, $E$13)</f>
        <v>8.2509999999999994</v>
      </c>
      <c r="K464" s="67">
        <f>8.2558 * CHOOSE(CONTROL!$C$23, $C$13, 100%, $E$13)</f>
        <v>8.2558000000000007</v>
      </c>
    </row>
    <row r="465" spans="1:11" ht="15">
      <c r="A465" s="13">
        <v>55274</v>
      </c>
      <c r="B465" s="66">
        <f>6.8465 * CHOOSE(CONTROL!$C$23, $C$13, 100%, $E$13)</f>
        <v>6.8464999999999998</v>
      </c>
      <c r="C465" s="66">
        <f>6.8465 * CHOOSE(CONTROL!$C$23, $C$13, 100%, $E$13)</f>
        <v>6.8464999999999998</v>
      </c>
      <c r="D465" s="66">
        <f>6.852 * CHOOSE(CONTROL!$C$23, $C$13, 100%, $E$13)</f>
        <v>6.8520000000000003</v>
      </c>
      <c r="E465" s="67">
        <f>8.2934 * CHOOSE(CONTROL!$C$23, $C$13, 100%, $E$13)</f>
        <v>8.2934000000000001</v>
      </c>
      <c r="F465" s="67">
        <f>8.2934 * CHOOSE(CONTROL!$C$23, $C$13, 100%, $E$13)</f>
        <v>8.2934000000000001</v>
      </c>
      <c r="G465" s="67">
        <f>8.3001 * CHOOSE(CONTROL!$C$23, $C$13, 100%, $E$13)</f>
        <v>8.3001000000000005</v>
      </c>
      <c r="H465" s="67">
        <f>14.989* CHOOSE(CONTROL!$C$23, $C$13, 100%, $E$13)</f>
        <v>14.989000000000001</v>
      </c>
      <c r="I465" s="67">
        <f>14.9957 * CHOOSE(CONTROL!$C$23, $C$13, 100%, $E$13)</f>
        <v>14.995699999999999</v>
      </c>
      <c r="J465" s="67">
        <f>8.2934 * CHOOSE(CONTROL!$C$23, $C$13, 100%, $E$13)</f>
        <v>8.2934000000000001</v>
      </c>
      <c r="K465" s="67">
        <f>8.3001 * CHOOSE(CONTROL!$C$23, $C$13, 100%, $E$13)</f>
        <v>8.3001000000000005</v>
      </c>
    </row>
    <row r="466" spans="1:11" ht="15">
      <c r="A466" s="13">
        <v>55305</v>
      </c>
      <c r="B466" s="66">
        <f>6.8526 * CHOOSE(CONTROL!$C$23, $C$13, 100%, $E$13)</f>
        <v>6.8525999999999998</v>
      </c>
      <c r="C466" s="66">
        <f>6.8526 * CHOOSE(CONTROL!$C$23, $C$13, 100%, $E$13)</f>
        <v>6.8525999999999998</v>
      </c>
      <c r="D466" s="66">
        <f>6.8581 * CHOOSE(CONTROL!$C$23, $C$13, 100%, $E$13)</f>
        <v>6.8581000000000003</v>
      </c>
      <c r="E466" s="67">
        <f>8.2552 * CHOOSE(CONTROL!$C$23, $C$13, 100%, $E$13)</f>
        <v>8.2552000000000003</v>
      </c>
      <c r="F466" s="67">
        <f>8.2552 * CHOOSE(CONTROL!$C$23, $C$13, 100%, $E$13)</f>
        <v>8.2552000000000003</v>
      </c>
      <c r="G466" s="67">
        <f>8.262 * CHOOSE(CONTROL!$C$23, $C$13, 100%, $E$13)</f>
        <v>8.2620000000000005</v>
      </c>
      <c r="H466" s="67">
        <f>15.0202* CHOOSE(CONTROL!$C$23, $C$13, 100%, $E$13)</f>
        <v>15.020200000000001</v>
      </c>
      <c r="I466" s="67">
        <f>15.0269 * CHOOSE(CONTROL!$C$23, $C$13, 100%, $E$13)</f>
        <v>15.026899999999999</v>
      </c>
      <c r="J466" s="67">
        <f>8.2552 * CHOOSE(CONTROL!$C$23, $C$13, 100%, $E$13)</f>
        <v>8.2552000000000003</v>
      </c>
      <c r="K466" s="67">
        <f>8.262 * CHOOSE(CONTROL!$C$23, $C$13, 100%, $E$13)</f>
        <v>8.2620000000000005</v>
      </c>
    </row>
    <row r="467" spans="1:11" ht="15">
      <c r="A467" s="13">
        <v>55335</v>
      </c>
      <c r="B467" s="66">
        <f>6.9616 * CHOOSE(CONTROL!$C$23, $C$13, 100%, $E$13)</f>
        <v>6.9615999999999998</v>
      </c>
      <c r="C467" s="66">
        <f>6.9616 * CHOOSE(CONTROL!$C$23, $C$13, 100%, $E$13)</f>
        <v>6.9615999999999998</v>
      </c>
      <c r="D467" s="66">
        <f>6.9671 * CHOOSE(CONTROL!$C$23, $C$13, 100%, $E$13)</f>
        <v>6.9671000000000003</v>
      </c>
      <c r="E467" s="67">
        <f>8.3922 * CHOOSE(CONTROL!$C$23, $C$13, 100%, $E$13)</f>
        <v>8.3922000000000008</v>
      </c>
      <c r="F467" s="67">
        <f>8.3922 * CHOOSE(CONTROL!$C$23, $C$13, 100%, $E$13)</f>
        <v>8.3922000000000008</v>
      </c>
      <c r="G467" s="67">
        <f>8.3989 * CHOOSE(CONTROL!$C$23, $C$13, 100%, $E$13)</f>
        <v>8.3988999999999994</v>
      </c>
      <c r="H467" s="67">
        <f>15.0515* CHOOSE(CONTROL!$C$23, $C$13, 100%, $E$13)</f>
        <v>15.051500000000001</v>
      </c>
      <c r="I467" s="67">
        <f>15.0582 * CHOOSE(CONTROL!$C$23, $C$13, 100%, $E$13)</f>
        <v>15.058199999999999</v>
      </c>
      <c r="J467" s="67">
        <f>8.3922 * CHOOSE(CONTROL!$C$23, $C$13, 100%, $E$13)</f>
        <v>8.3922000000000008</v>
      </c>
      <c r="K467" s="67">
        <f>8.3989 * CHOOSE(CONTROL!$C$23, $C$13, 100%, $E$13)</f>
        <v>8.3988999999999994</v>
      </c>
    </row>
    <row r="468" spans="1:11" ht="15">
      <c r="A468" s="13">
        <v>55366</v>
      </c>
      <c r="B468" s="66">
        <f>6.9683 * CHOOSE(CONTROL!$C$23, $C$13, 100%, $E$13)</f>
        <v>6.9683000000000002</v>
      </c>
      <c r="C468" s="66">
        <f>6.9683 * CHOOSE(CONTROL!$C$23, $C$13, 100%, $E$13)</f>
        <v>6.9683000000000002</v>
      </c>
      <c r="D468" s="66">
        <f>6.9738 * CHOOSE(CONTROL!$C$23, $C$13, 100%, $E$13)</f>
        <v>6.9737999999999998</v>
      </c>
      <c r="E468" s="67">
        <f>8.2698 * CHOOSE(CONTROL!$C$23, $C$13, 100%, $E$13)</f>
        <v>8.2698</v>
      </c>
      <c r="F468" s="67">
        <f>8.2698 * CHOOSE(CONTROL!$C$23, $C$13, 100%, $E$13)</f>
        <v>8.2698</v>
      </c>
      <c r="G468" s="67">
        <f>8.2765 * CHOOSE(CONTROL!$C$23, $C$13, 100%, $E$13)</f>
        <v>8.2765000000000004</v>
      </c>
      <c r="H468" s="67">
        <f>15.0828* CHOOSE(CONTROL!$C$23, $C$13, 100%, $E$13)</f>
        <v>15.082800000000001</v>
      </c>
      <c r="I468" s="67">
        <f>15.0896 * CHOOSE(CONTROL!$C$23, $C$13, 100%, $E$13)</f>
        <v>15.089600000000001</v>
      </c>
      <c r="J468" s="67">
        <f>8.2698 * CHOOSE(CONTROL!$C$23, $C$13, 100%, $E$13)</f>
        <v>8.2698</v>
      </c>
      <c r="K468" s="67">
        <f>8.2765 * CHOOSE(CONTROL!$C$23, $C$13, 100%, $E$13)</f>
        <v>8.2765000000000004</v>
      </c>
    </row>
    <row r="469" spans="1:11" ht="15">
      <c r="A469" s="13">
        <v>55397</v>
      </c>
      <c r="B469" s="66">
        <f>6.9653 * CHOOSE(CONTROL!$C$23, $C$13, 100%, $E$13)</f>
        <v>6.9653</v>
      </c>
      <c r="C469" s="66">
        <f>6.9653 * CHOOSE(CONTROL!$C$23, $C$13, 100%, $E$13)</f>
        <v>6.9653</v>
      </c>
      <c r="D469" s="66">
        <f>6.9708 * CHOOSE(CONTROL!$C$23, $C$13, 100%, $E$13)</f>
        <v>6.9707999999999997</v>
      </c>
      <c r="E469" s="67">
        <f>8.2536 * CHOOSE(CONTROL!$C$23, $C$13, 100%, $E$13)</f>
        <v>8.2536000000000005</v>
      </c>
      <c r="F469" s="67">
        <f>8.2536 * CHOOSE(CONTROL!$C$23, $C$13, 100%, $E$13)</f>
        <v>8.2536000000000005</v>
      </c>
      <c r="G469" s="67">
        <f>8.2603 * CHOOSE(CONTROL!$C$23, $C$13, 100%, $E$13)</f>
        <v>8.2603000000000009</v>
      </c>
      <c r="H469" s="67">
        <f>15.1143* CHOOSE(CONTROL!$C$23, $C$13, 100%, $E$13)</f>
        <v>15.1143</v>
      </c>
      <c r="I469" s="67">
        <f>15.121 * CHOOSE(CONTROL!$C$23, $C$13, 100%, $E$13)</f>
        <v>15.121</v>
      </c>
      <c r="J469" s="67">
        <f>8.2536 * CHOOSE(CONTROL!$C$23, $C$13, 100%, $E$13)</f>
        <v>8.2536000000000005</v>
      </c>
      <c r="K469" s="67">
        <f>8.2603 * CHOOSE(CONTROL!$C$23, $C$13, 100%, $E$13)</f>
        <v>8.2603000000000009</v>
      </c>
    </row>
    <row r="470" spans="1:11" ht="15">
      <c r="A470" s="13">
        <v>55427</v>
      </c>
      <c r="B470" s="66">
        <f>6.9701 * CHOOSE(CONTROL!$C$23, $C$13, 100%, $E$13)</f>
        <v>6.9701000000000004</v>
      </c>
      <c r="C470" s="66">
        <f>6.9701 * CHOOSE(CONTROL!$C$23, $C$13, 100%, $E$13)</f>
        <v>6.9701000000000004</v>
      </c>
      <c r="D470" s="66">
        <f>6.974 * CHOOSE(CONTROL!$C$23, $C$13, 100%, $E$13)</f>
        <v>6.9740000000000002</v>
      </c>
      <c r="E470" s="67">
        <f>8.2966 * CHOOSE(CONTROL!$C$23, $C$13, 100%, $E$13)</f>
        <v>8.2965999999999998</v>
      </c>
      <c r="F470" s="67">
        <f>8.2966 * CHOOSE(CONTROL!$C$23, $C$13, 100%, $E$13)</f>
        <v>8.2965999999999998</v>
      </c>
      <c r="G470" s="67">
        <f>8.3014 * CHOOSE(CONTROL!$C$23, $C$13, 100%, $E$13)</f>
        <v>8.3013999999999992</v>
      </c>
      <c r="H470" s="67">
        <f>15.1458* CHOOSE(CONTROL!$C$23, $C$13, 100%, $E$13)</f>
        <v>15.145799999999999</v>
      </c>
      <c r="I470" s="67">
        <f>15.1505 * CHOOSE(CONTROL!$C$23, $C$13, 100%, $E$13)</f>
        <v>15.150499999999999</v>
      </c>
      <c r="J470" s="67">
        <f>8.2966 * CHOOSE(CONTROL!$C$23, $C$13, 100%, $E$13)</f>
        <v>8.2965999999999998</v>
      </c>
      <c r="K470" s="67">
        <f>8.3014 * CHOOSE(CONTROL!$C$23, $C$13, 100%, $E$13)</f>
        <v>8.3013999999999992</v>
      </c>
    </row>
    <row r="471" spans="1:11" ht="15">
      <c r="A471" s="13">
        <v>55458</v>
      </c>
      <c r="B471" s="66">
        <f>6.9731 * CHOOSE(CONTROL!$C$23, $C$13, 100%, $E$13)</f>
        <v>6.9730999999999996</v>
      </c>
      <c r="C471" s="66">
        <f>6.9731 * CHOOSE(CONTROL!$C$23, $C$13, 100%, $E$13)</f>
        <v>6.9730999999999996</v>
      </c>
      <c r="D471" s="66">
        <f>6.977 * CHOOSE(CONTROL!$C$23, $C$13, 100%, $E$13)</f>
        <v>6.9770000000000003</v>
      </c>
      <c r="E471" s="67">
        <f>8.327 * CHOOSE(CONTROL!$C$23, $C$13, 100%, $E$13)</f>
        <v>8.327</v>
      </c>
      <c r="F471" s="67">
        <f>8.327 * CHOOSE(CONTROL!$C$23, $C$13, 100%, $E$13)</f>
        <v>8.327</v>
      </c>
      <c r="G471" s="67">
        <f>8.3317 * CHOOSE(CONTROL!$C$23, $C$13, 100%, $E$13)</f>
        <v>8.3316999999999997</v>
      </c>
      <c r="H471" s="67">
        <f>15.1773* CHOOSE(CONTROL!$C$23, $C$13, 100%, $E$13)</f>
        <v>15.177300000000001</v>
      </c>
      <c r="I471" s="67">
        <f>15.1821 * CHOOSE(CONTROL!$C$23, $C$13, 100%, $E$13)</f>
        <v>15.1821</v>
      </c>
      <c r="J471" s="67">
        <f>8.327 * CHOOSE(CONTROL!$C$23, $C$13, 100%, $E$13)</f>
        <v>8.327</v>
      </c>
      <c r="K471" s="67">
        <f>8.3317 * CHOOSE(CONTROL!$C$23, $C$13, 100%, $E$13)</f>
        <v>8.3316999999999997</v>
      </c>
    </row>
    <row r="472" spans="1:11" ht="15">
      <c r="A472" s="13">
        <v>55488</v>
      </c>
      <c r="B472" s="66">
        <f>6.9731 * CHOOSE(CONTROL!$C$23, $C$13, 100%, $E$13)</f>
        <v>6.9730999999999996</v>
      </c>
      <c r="C472" s="66">
        <f>6.9731 * CHOOSE(CONTROL!$C$23, $C$13, 100%, $E$13)</f>
        <v>6.9730999999999996</v>
      </c>
      <c r="D472" s="66">
        <f>6.977 * CHOOSE(CONTROL!$C$23, $C$13, 100%, $E$13)</f>
        <v>6.9770000000000003</v>
      </c>
      <c r="E472" s="67">
        <f>8.2564 * CHOOSE(CONTROL!$C$23, $C$13, 100%, $E$13)</f>
        <v>8.2563999999999993</v>
      </c>
      <c r="F472" s="67">
        <f>8.2564 * CHOOSE(CONTROL!$C$23, $C$13, 100%, $E$13)</f>
        <v>8.2563999999999993</v>
      </c>
      <c r="G472" s="67">
        <f>8.2611 * CHOOSE(CONTROL!$C$23, $C$13, 100%, $E$13)</f>
        <v>8.2611000000000008</v>
      </c>
      <c r="H472" s="67">
        <f>15.2089* CHOOSE(CONTROL!$C$23, $C$13, 100%, $E$13)</f>
        <v>15.2089</v>
      </c>
      <c r="I472" s="67">
        <f>15.2137 * CHOOSE(CONTROL!$C$23, $C$13, 100%, $E$13)</f>
        <v>15.213699999999999</v>
      </c>
      <c r="J472" s="67">
        <f>8.2564 * CHOOSE(CONTROL!$C$23, $C$13, 100%, $E$13)</f>
        <v>8.2563999999999993</v>
      </c>
      <c r="K472" s="67">
        <f>8.2611 * CHOOSE(CONTROL!$C$23, $C$13, 100%, $E$13)</f>
        <v>8.2611000000000008</v>
      </c>
    </row>
    <row r="473" spans="1:11" ht="15">
      <c r="A473" s="13">
        <v>55519</v>
      </c>
      <c r="B473" s="66">
        <f>7.0335 * CHOOSE(CONTROL!$C$23, $C$13, 100%, $E$13)</f>
        <v>7.0335000000000001</v>
      </c>
      <c r="C473" s="66">
        <f>7.0335 * CHOOSE(CONTROL!$C$23, $C$13, 100%, $E$13)</f>
        <v>7.0335000000000001</v>
      </c>
      <c r="D473" s="66">
        <f>7.0374 * CHOOSE(CONTROL!$C$23, $C$13, 100%, $E$13)</f>
        <v>7.0373999999999999</v>
      </c>
      <c r="E473" s="67">
        <f>8.3746 * CHOOSE(CONTROL!$C$23, $C$13, 100%, $E$13)</f>
        <v>8.3745999999999992</v>
      </c>
      <c r="F473" s="67">
        <f>8.3746 * CHOOSE(CONTROL!$C$23, $C$13, 100%, $E$13)</f>
        <v>8.3745999999999992</v>
      </c>
      <c r="G473" s="67">
        <f>8.3793 * CHOOSE(CONTROL!$C$23, $C$13, 100%, $E$13)</f>
        <v>8.3793000000000006</v>
      </c>
      <c r="H473" s="67">
        <f>15.2406* CHOOSE(CONTROL!$C$23, $C$13, 100%, $E$13)</f>
        <v>15.240600000000001</v>
      </c>
      <c r="I473" s="67">
        <f>15.2454 * CHOOSE(CONTROL!$C$23, $C$13, 100%, $E$13)</f>
        <v>15.2454</v>
      </c>
      <c r="J473" s="67">
        <f>8.3746 * CHOOSE(CONTROL!$C$23, $C$13, 100%, $E$13)</f>
        <v>8.3745999999999992</v>
      </c>
      <c r="K473" s="67">
        <f>8.3793 * CHOOSE(CONTROL!$C$23, $C$13, 100%, $E$13)</f>
        <v>8.3793000000000006</v>
      </c>
    </row>
    <row r="474" spans="1:11" ht="15">
      <c r="A474" s="13">
        <v>55550</v>
      </c>
      <c r="B474" s="66">
        <f>7.0305 * CHOOSE(CONTROL!$C$23, $C$13, 100%, $E$13)</f>
        <v>7.0305</v>
      </c>
      <c r="C474" s="66">
        <f>7.0305 * CHOOSE(CONTROL!$C$23, $C$13, 100%, $E$13)</f>
        <v>7.0305</v>
      </c>
      <c r="D474" s="66">
        <f>7.0343 * CHOOSE(CONTROL!$C$23, $C$13, 100%, $E$13)</f>
        <v>7.0343</v>
      </c>
      <c r="E474" s="67">
        <f>8.2353 * CHOOSE(CONTROL!$C$23, $C$13, 100%, $E$13)</f>
        <v>8.2353000000000005</v>
      </c>
      <c r="F474" s="67">
        <f>8.2353 * CHOOSE(CONTROL!$C$23, $C$13, 100%, $E$13)</f>
        <v>8.2353000000000005</v>
      </c>
      <c r="G474" s="67">
        <f>8.2401 * CHOOSE(CONTROL!$C$23, $C$13, 100%, $E$13)</f>
        <v>8.2401</v>
      </c>
      <c r="H474" s="67">
        <f>15.2724* CHOOSE(CONTROL!$C$23, $C$13, 100%, $E$13)</f>
        <v>15.272399999999999</v>
      </c>
      <c r="I474" s="67">
        <f>15.2771 * CHOOSE(CONTROL!$C$23, $C$13, 100%, $E$13)</f>
        <v>15.277100000000001</v>
      </c>
      <c r="J474" s="67">
        <f>8.2353 * CHOOSE(CONTROL!$C$23, $C$13, 100%, $E$13)</f>
        <v>8.2353000000000005</v>
      </c>
      <c r="K474" s="67">
        <f>8.2401 * CHOOSE(CONTROL!$C$23, $C$13, 100%, $E$13)</f>
        <v>8.2401</v>
      </c>
    </row>
    <row r="475" spans="1:11" ht="15">
      <c r="A475" s="13">
        <v>55579</v>
      </c>
      <c r="B475" s="66">
        <f>7.0274 * CHOOSE(CONTROL!$C$23, $C$13, 100%, $E$13)</f>
        <v>7.0274000000000001</v>
      </c>
      <c r="C475" s="66">
        <f>7.0274 * CHOOSE(CONTROL!$C$23, $C$13, 100%, $E$13)</f>
        <v>7.0274000000000001</v>
      </c>
      <c r="D475" s="66">
        <f>7.0313 * CHOOSE(CONTROL!$C$23, $C$13, 100%, $E$13)</f>
        <v>7.0312999999999999</v>
      </c>
      <c r="E475" s="67">
        <f>8.3413 * CHOOSE(CONTROL!$C$23, $C$13, 100%, $E$13)</f>
        <v>8.3413000000000004</v>
      </c>
      <c r="F475" s="67">
        <f>8.3413 * CHOOSE(CONTROL!$C$23, $C$13, 100%, $E$13)</f>
        <v>8.3413000000000004</v>
      </c>
      <c r="G475" s="67">
        <f>8.3461 * CHOOSE(CONTROL!$C$23, $C$13, 100%, $E$13)</f>
        <v>8.3460999999999999</v>
      </c>
      <c r="H475" s="67">
        <f>15.3042* CHOOSE(CONTROL!$C$23, $C$13, 100%, $E$13)</f>
        <v>15.3042</v>
      </c>
      <c r="I475" s="67">
        <f>15.309 * CHOOSE(CONTROL!$C$23, $C$13, 100%, $E$13)</f>
        <v>15.308999999999999</v>
      </c>
      <c r="J475" s="67">
        <f>8.3413 * CHOOSE(CONTROL!$C$23, $C$13, 100%, $E$13)</f>
        <v>8.3413000000000004</v>
      </c>
      <c r="K475" s="67">
        <f>8.3461 * CHOOSE(CONTROL!$C$23, $C$13, 100%, $E$13)</f>
        <v>8.3460999999999999</v>
      </c>
    </row>
    <row r="476" spans="1:11" ht="15">
      <c r="A476" s="13">
        <v>55610</v>
      </c>
      <c r="B476" s="66">
        <f>7.0277 * CHOOSE(CONTROL!$C$23, $C$13, 100%, $E$13)</f>
        <v>7.0277000000000003</v>
      </c>
      <c r="C476" s="66">
        <f>7.0277 * CHOOSE(CONTROL!$C$23, $C$13, 100%, $E$13)</f>
        <v>7.0277000000000003</v>
      </c>
      <c r="D476" s="66">
        <f>7.0315 * CHOOSE(CONTROL!$C$23, $C$13, 100%, $E$13)</f>
        <v>7.0315000000000003</v>
      </c>
      <c r="E476" s="67">
        <f>8.4532 * CHOOSE(CONTROL!$C$23, $C$13, 100%, $E$13)</f>
        <v>8.4532000000000007</v>
      </c>
      <c r="F476" s="67">
        <f>8.4532 * CHOOSE(CONTROL!$C$23, $C$13, 100%, $E$13)</f>
        <v>8.4532000000000007</v>
      </c>
      <c r="G476" s="67">
        <f>8.458 * CHOOSE(CONTROL!$C$23, $C$13, 100%, $E$13)</f>
        <v>8.4580000000000002</v>
      </c>
      <c r="H476" s="67">
        <f>15.3361* CHOOSE(CONTROL!$C$23, $C$13, 100%, $E$13)</f>
        <v>15.3361</v>
      </c>
      <c r="I476" s="67">
        <f>15.3408 * CHOOSE(CONTROL!$C$23, $C$13, 100%, $E$13)</f>
        <v>15.3408</v>
      </c>
      <c r="J476" s="67">
        <f>8.4532 * CHOOSE(CONTROL!$C$23, $C$13, 100%, $E$13)</f>
        <v>8.4532000000000007</v>
      </c>
      <c r="K476" s="67">
        <f>8.458 * CHOOSE(CONTROL!$C$23, $C$13, 100%, $E$13)</f>
        <v>8.4580000000000002</v>
      </c>
    </row>
    <row r="477" spans="1:11" ht="15">
      <c r="A477" s="13">
        <v>55640</v>
      </c>
      <c r="B477" s="66">
        <f>7.0277 * CHOOSE(CONTROL!$C$23, $C$13, 100%, $E$13)</f>
        <v>7.0277000000000003</v>
      </c>
      <c r="C477" s="66">
        <f>7.0277 * CHOOSE(CONTROL!$C$23, $C$13, 100%, $E$13)</f>
        <v>7.0277000000000003</v>
      </c>
      <c r="D477" s="66">
        <f>7.0332 * CHOOSE(CONTROL!$C$23, $C$13, 100%, $E$13)</f>
        <v>7.0331999999999999</v>
      </c>
      <c r="E477" s="67">
        <f>8.4967 * CHOOSE(CONTROL!$C$23, $C$13, 100%, $E$13)</f>
        <v>8.4967000000000006</v>
      </c>
      <c r="F477" s="67">
        <f>8.4967 * CHOOSE(CONTROL!$C$23, $C$13, 100%, $E$13)</f>
        <v>8.4967000000000006</v>
      </c>
      <c r="G477" s="67">
        <f>8.5035 * CHOOSE(CONTROL!$C$23, $C$13, 100%, $E$13)</f>
        <v>8.5035000000000007</v>
      </c>
      <c r="H477" s="67">
        <f>15.368* CHOOSE(CONTROL!$C$23, $C$13, 100%, $E$13)</f>
        <v>15.368</v>
      </c>
      <c r="I477" s="67">
        <f>15.3748 * CHOOSE(CONTROL!$C$23, $C$13, 100%, $E$13)</f>
        <v>15.3748</v>
      </c>
      <c r="J477" s="67">
        <f>8.4967 * CHOOSE(CONTROL!$C$23, $C$13, 100%, $E$13)</f>
        <v>8.4967000000000006</v>
      </c>
      <c r="K477" s="67">
        <f>8.5035 * CHOOSE(CONTROL!$C$23, $C$13, 100%, $E$13)</f>
        <v>8.5035000000000007</v>
      </c>
    </row>
    <row r="478" spans="1:11" ht="15">
      <c r="A478" s="13">
        <v>55671</v>
      </c>
      <c r="B478" s="66">
        <f>7.0338 * CHOOSE(CONTROL!$C$23, $C$13, 100%, $E$13)</f>
        <v>7.0338000000000003</v>
      </c>
      <c r="C478" s="66">
        <f>7.0338 * CHOOSE(CONTROL!$C$23, $C$13, 100%, $E$13)</f>
        <v>7.0338000000000003</v>
      </c>
      <c r="D478" s="66">
        <f>7.0393 * CHOOSE(CONTROL!$C$23, $C$13, 100%, $E$13)</f>
        <v>7.0392999999999999</v>
      </c>
      <c r="E478" s="67">
        <f>8.4574 * CHOOSE(CONTROL!$C$23, $C$13, 100%, $E$13)</f>
        <v>8.4573999999999998</v>
      </c>
      <c r="F478" s="67">
        <f>8.4574 * CHOOSE(CONTROL!$C$23, $C$13, 100%, $E$13)</f>
        <v>8.4573999999999998</v>
      </c>
      <c r="G478" s="67">
        <f>8.4642 * CHOOSE(CONTROL!$C$23, $C$13, 100%, $E$13)</f>
        <v>8.4641999999999999</v>
      </c>
      <c r="H478" s="67">
        <f>15.4* CHOOSE(CONTROL!$C$23, $C$13, 100%, $E$13)</f>
        <v>15.4</v>
      </c>
      <c r="I478" s="67">
        <f>15.4068 * CHOOSE(CONTROL!$C$23, $C$13, 100%, $E$13)</f>
        <v>15.4068</v>
      </c>
      <c r="J478" s="67">
        <f>8.4574 * CHOOSE(CONTROL!$C$23, $C$13, 100%, $E$13)</f>
        <v>8.4573999999999998</v>
      </c>
      <c r="K478" s="67">
        <f>8.4642 * CHOOSE(CONTROL!$C$23, $C$13, 100%, $E$13)</f>
        <v>8.4641999999999999</v>
      </c>
    </row>
    <row r="479" spans="1:11" ht="15">
      <c r="A479" s="13">
        <v>55701</v>
      </c>
      <c r="B479" s="66">
        <f>7.1454 * CHOOSE(CONTROL!$C$23, $C$13, 100%, $E$13)</f>
        <v>7.1454000000000004</v>
      </c>
      <c r="C479" s="66">
        <f>7.1454 * CHOOSE(CONTROL!$C$23, $C$13, 100%, $E$13)</f>
        <v>7.1454000000000004</v>
      </c>
      <c r="D479" s="66">
        <f>7.1509 * CHOOSE(CONTROL!$C$23, $C$13, 100%, $E$13)</f>
        <v>7.1509</v>
      </c>
      <c r="E479" s="67">
        <f>8.5975 * CHOOSE(CONTROL!$C$23, $C$13, 100%, $E$13)</f>
        <v>8.5975000000000001</v>
      </c>
      <c r="F479" s="67">
        <f>8.5975 * CHOOSE(CONTROL!$C$23, $C$13, 100%, $E$13)</f>
        <v>8.5975000000000001</v>
      </c>
      <c r="G479" s="67">
        <f>8.6042 * CHOOSE(CONTROL!$C$23, $C$13, 100%, $E$13)</f>
        <v>8.6042000000000005</v>
      </c>
      <c r="H479" s="67">
        <f>15.4321* CHOOSE(CONTROL!$C$23, $C$13, 100%, $E$13)</f>
        <v>15.4321</v>
      </c>
      <c r="I479" s="67">
        <f>15.4389 * CHOOSE(CONTROL!$C$23, $C$13, 100%, $E$13)</f>
        <v>15.4389</v>
      </c>
      <c r="J479" s="67">
        <f>8.5975 * CHOOSE(CONTROL!$C$23, $C$13, 100%, $E$13)</f>
        <v>8.5975000000000001</v>
      </c>
      <c r="K479" s="67">
        <f>8.6042 * CHOOSE(CONTROL!$C$23, $C$13, 100%, $E$13)</f>
        <v>8.6042000000000005</v>
      </c>
    </row>
    <row r="480" spans="1:11" ht="15">
      <c r="A480" s="13">
        <v>55732</v>
      </c>
      <c r="B480" s="66">
        <f>7.1521 * CHOOSE(CONTROL!$C$23, $C$13, 100%, $E$13)</f>
        <v>7.1520999999999999</v>
      </c>
      <c r="C480" s="66">
        <f>7.1521 * CHOOSE(CONTROL!$C$23, $C$13, 100%, $E$13)</f>
        <v>7.1520999999999999</v>
      </c>
      <c r="D480" s="66">
        <f>7.1576 * CHOOSE(CONTROL!$C$23, $C$13, 100%, $E$13)</f>
        <v>7.1576000000000004</v>
      </c>
      <c r="E480" s="67">
        <f>8.4715 * CHOOSE(CONTROL!$C$23, $C$13, 100%, $E$13)</f>
        <v>8.4715000000000007</v>
      </c>
      <c r="F480" s="67">
        <f>8.4715 * CHOOSE(CONTROL!$C$23, $C$13, 100%, $E$13)</f>
        <v>8.4715000000000007</v>
      </c>
      <c r="G480" s="67">
        <f>8.4783 * CHOOSE(CONTROL!$C$23, $C$13, 100%, $E$13)</f>
        <v>8.4783000000000008</v>
      </c>
      <c r="H480" s="67">
        <f>15.4643* CHOOSE(CONTROL!$C$23, $C$13, 100%, $E$13)</f>
        <v>15.4643</v>
      </c>
      <c r="I480" s="67">
        <f>15.471 * CHOOSE(CONTROL!$C$23, $C$13, 100%, $E$13)</f>
        <v>15.471</v>
      </c>
      <c r="J480" s="67">
        <f>8.4715 * CHOOSE(CONTROL!$C$23, $C$13, 100%, $E$13)</f>
        <v>8.4715000000000007</v>
      </c>
      <c r="K480" s="67">
        <f>8.4783 * CHOOSE(CONTROL!$C$23, $C$13, 100%, $E$13)</f>
        <v>8.4783000000000008</v>
      </c>
    </row>
    <row r="481" spans="1:11" ht="15">
      <c r="A481" s="13">
        <v>55763</v>
      </c>
      <c r="B481" s="66">
        <f>7.149 * CHOOSE(CONTROL!$C$23, $C$13, 100%, $E$13)</f>
        <v>7.149</v>
      </c>
      <c r="C481" s="66">
        <f>7.149 * CHOOSE(CONTROL!$C$23, $C$13, 100%, $E$13)</f>
        <v>7.149</v>
      </c>
      <c r="D481" s="66">
        <f>7.1545 * CHOOSE(CONTROL!$C$23, $C$13, 100%, $E$13)</f>
        <v>7.1544999999999996</v>
      </c>
      <c r="E481" s="67">
        <f>8.4549 * CHOOSE(CONTROL!$C$23, $C$13, 100%, $E$13)</f>
        <v>8.4549000000000003</v>
      </c>
      <c r="F481" s="67">
        <f>8.4549 * CHOOSE(CONTROL!$C$23, $C$13, 100%, $E$13)</f>
        <v>8.4549000000000003</v>
      </c>
      <c r="G481" s="67">
        <f>8.4616 * CHOOSE(CONTROL!$C$23, $C$13, 100%, $E$13)</f>
        <v>8.4616000000000007</v>
      </c>
      <c r="H481" s="67">
        <f>15.4965* CHOOSE(CONTROL!$C$23, $C$13, 100%, $E$13)</f>
        <v>15.496499999999999</v>
      </c>
      <c r="I481" s="67">
        <f>15.5032 * CHOOSE(CONTROL!$C$23, $C$13, 100%, $E$13)</f>
        <v>15.5032</v>
      </c>
      <c r="J481" s="67">
        <f>8.4549 * CHOOSE(CONTROL!$C$23, $C$13, 100%, $E$13)</f>
        <v>8.4549000000000003</v>
      </c>
      <c r="K481" s="67">
        <f>8.4616 * CHOOSE(CONTROL!$C$23, $C$13, 100%, $E$13)</f>
        <v>8.4616000000000007</v>
      </c>
    </row>
    <row r="482" spans="1:11" ht="15">
      <c r="A482" s="13">
        <v>55793</v>
      </c>
      <c r="B482" s="66">
        <f>7.1545 * CHOOSE(CONTROL!$C$23, $C$13, 100%, $E$13)</f>
        <v>7.1544999999999996</v>
      </c>
      <c r="C482" s="66">
        <f>7.1545 * CHOOSE(CONTROL!$C$23, $C$13, 100%, $E$13)</f>
        <v>7.1544999999999996</v>
      </c>
      <c r="D482" s="66">
        <f>7.1583 * CHOOSE(CONTROL!$C$23, $C$13, 100%, $E$13)</f>
        <v>7.1582999999999997</v>
      </c>
      <c r="E482" s="67">
        <f>8.4995 * CHOOSE(CONTROL!$C$23, $C$13, 100%, $E$13)</f>
        <v>8.4994999999999994</v>
      </c>
      <c r="F482" s="67">
        <f>8.4995 * CHOOSE(CONTROL!$C$23, $C$13, 100%, $E$13)</f>
        <v>8.4994999999999994</v>
      </c>
      <c r="G482" s="67">
        <f>8.5043 * CHOOSE(CONTROL!$C$23, $C$13, 100%, $E$13)</f>
        <v>8.5043000000000006</v>
      </c>
      <c r="H482" s="67">
        <f>15.5288* CHOOSE(CONTROL!$C$23, $C$13, 100%, $E$13)</f>
        <v>15.5288</v>
      </c>
      <c r="I482" s="67">
        <f>15.5335 * CHOOSE(CONTROL!$C$23, $C$13, 100%, $E$13)</f>
        <v>15.5335</v>
      </c>
      <c r="J482" s="67">
        <f>8.4995 * CHOOSE(CONTROL!$C$23, $C$13, 100%, $E$13)</f>
        <v>8.4994999999999994</v>
      </c>
      <c r="K482" s="67">
        <f>8.5043 * CHOOSE(CONTROL!$C$23, $C$13, 100%, $E$13)</f>
        <v>8.5043000000000006</v>
      </c>
    </row>
    <row r="483" spans="1:11" ht="15">
      <c r="A483" s="13">
        <v>55824</v>
      </c>
      <c r="B483" s="66">
        <f>7.1575 * CHOOSE(CONTROL!$C$23, $C$13, 100%, $E$13)</f>
        <v>7.1574999999999998</v>
      </c>
      <c r="C483" s="66">
        <f>7.1575 * CHOOSE(CONTROL!$C$23, $C$13, 100%, $E$13)</f>
        <v>7.1574999999999998</v>
      </c>
      <c r="D483" s="66">
        <f>7.1614 * CHOOSE(CONTROL!$C$23, $C$13, 100%, $E$13)</f>
        <v>7.1614000000000004</v>
      </c>
      <c r="E483" s="67">
        <f>8.5307 * CHOOSE(CONTROL!$C$23, $C$13, 100%, $E$13)</f>
        <v>8.5306999999999995</v>
      </c>
      <c r="F483" s="67">
        <f>8.5307 * CHOOSE(CONTROL!$C$23, $C$13, 100%, $E$13)</f>
        <v>8.5306999999999995</v>
      </c>
      <c r="G483" s="67">
        <f>8.5354 * CHOOSE(CONTROL!$C$23, $C$13, 100%, $E$13)</f>
        <v>8.5353999999999992</v>
      </c>
      <c r="H483" s="67">
        <f>15.5611* CHOOSE(CONTROL!$C$23, $C$13, 100%, $E$13)</f>
        <v>15.5611</v>
      </c>
      <c r="I483" s="67">
        <f>15.5659 * CHOOSE(CONTROL!$C$23, $C$13, 100%, $E$13)</f>
        <v>15.565899999999999</v>
      </c>
      <c r="J483" s="67">
        <f>8.5307 * CHOOSE(CONTROL!$C$23, $C$13, 100%, $E$13)</f>
        <v>8.5306999999999995</v>
      </c>
      <c r="K483" s="67">
        <f>8.5354 * CHOOSE(CONTROL!$C$23, $C$13, 100%, $E$13)</f>
        <v>8.5353999999999992</v>
      </c>
    </row>
    <row r="484" spans="1:11" ht="15">
      <c r="A484" s="13">
        <v>55854</v>
      </c>
      <c r="B484" s="66">
        <f>7.1575 * CHOOSE(CONTROL!$C$23, $C$13, 100%, $E$13)</f>
        <v>7.1574999999999998</v>
      </c>
      <c r="C484" s="66">
        <f>7.1575 * CHOOSE(CONTROL!$C$23, $C$13, 100%, $E$13)</f>
        <v>7.1574999999999998</v>
      </c>
      <c r="D484" s="66">
        <f>7.1614 * CHOOSE(CONTROL!$C$23, $C$13, 100%, $E$13)</f>
        <v>7.1614000000000004</v>
      </c>
      <c r="E484" s="67">
        <f>8.4581 * CHOOSE(CONTROL!$C$23, $C$13, 100%, $E$13)</f>
        <v>8.4581</v>
      </c>
      <c r="F484" s="67">
        <f>8.4581 * CHOOSE(CONTROL!$C$23, $C$13, 100%, $E$13)</f>
        <v>8.4581</v>
      </c>
      <c r="G484" s="67">
        <f>8.4629 * CHOOSE(CONTROL!$C$23, $C$13, 100%, $E$13)</f>
        <v>8.4628999999999994</v>
      </c>
      <c r="H484" s="67">
        <f>15.5935* CHOOSE(CONTROL!$C$23, $C$13, 100%, $E$13)</f>
        <v>15.593500000000001</v>
      </c>
      <c r="I484" s="67">
        <f>15.5983 * CHOOSE(CONTROL!$C$23, $C$13, 100%, $E$13)</f>
        <v>15.5983</v>
      </c>
      <c r="J484" s="67">
        <f>8.4581 * CHOOSE(CONTROL!$C$23, $C$13, 100%, $E$13)</f>
        <v>8.4581</v>
      </c>
      <c r="K484" s="67">
        <f>8.4629 * CHOOSE(CONTROL!$C$23, $C$13, 100%, $E$13)</f>
        <v>8.4628999999999994</v>
      </c>
    </row>
    <row r="485" spans="1:11" ht="15">
      <c r="A485" s="13">
        <v>55885</v>
      </c>
      <c r="B485" s="66">
        <f>7.2193 * CHOOSE(CONTROL!$C$23, $C$13, 100%, $E$13)</f>
        <v>7.2192999999999996</v>
      </c>
      <c r="C485" s="66">
        <f>7.2193 * CHOOSE(CONTROL!$C$23, $C$13, 100%, $E$13)</f>
        <v>7.2192999999999996</v>
      </c>
      <c r="D485" s="66">
        <f>7.2232 * CHOOSE(CONTROL!$C$23, $C$13, 100%, $E$13)</f>
        <v>7.2232000000000003</v>
      </c>
      <c r="E485" s="67">
        <f>8.5793 * CHOOSE(CONTROL!$C$23, $C$13, 100%, $E$13)</f>
        <v>8.5792999999999999</v>
      </c>
      <c r="F485" s="67">
        <f>8.5793 * CHOOSE(CONTROL!$C$23, $C$13, 100%, $E$13)</f>
        <v>8.5792999999999999</v>
      </c>
      <c r="G485" s="67">
        <f>8.5841 * CHOOSE(CONTROL!$C$23, $C$13, 100%, $E$13)</f>
        <v>8.5840999999999994</v>
      </c>
      <c r="H485" s="67">
        <f>15.626* CHOOSE(CONTROL!$C$23, $C$13, 100%, $E$13)</f>
        <v>15.625999999999999</v>
      </c>
      <c r="I485" s="67">
        <f>15.6308 * CHOOSE(CONTROL!$C$23, $C$13, 100%, $E$13)</f>
        <v>15.630800000000001</v>
      </c>
      <c r="J485" s="67">
        <f>8.5793 * CHOOSE(CONTROL!$C$23, $C$13, 100%, $E$13)</f>
        <v>8.5792999999999999</v>
      </c>
      <c r="K485" s="67">
        <f>8.5841 * CHOOSE(CONTROL!$C$23, $C$13, 100%, $E$13)</f>
        <v>8.5840999999999994</v>
      </c>
    </row>
    <row r="486" spans="1:11" ht="15">
      <c r="A486" s="13">
        <v>55916</v>
      </c>
      <c r="B486" s="66">
        <f>7.2163 * CHOOSE(CONTROL!$C$23, $C$13, 100%, $E$13)</f>
        <v>7.2163000000000004</v>
      </c>
      <c r="C486" s="66">
        <f>7.2163 * CHOOSE(CONTROL!$C$23, $C$13, 100%, $E$13)</f>
        <v>7.2163000000000004</v>
      </c>
      <c r="D486" s="66">
        <f>7.2202 * CHOOSE(CONTROL!$C$23, $C$13, 100%, $E$13)</f>
        <v>7.2202000000000002</v>
      </c>
      <c r="E486" s="67">
        <f>8.4362 * CHOOSE(CONTROL!$C$23, $C$13, 100%, $E$13)</f>
        <v>8.4361999999999995</v>
      </c>
      <c r="F486" s="67">
        <f>8.4362 * CHOOSE(CONTROL!$C$23, $C$13, 100%, $E$13)</f>
        <v>8.4361999999999995</v>
      </c>
      <c r="G486" s="67">
        <f>8.441 * CHOOSE(CONTROL!$C$23, $C$13, 100%, $E$13)</f>
        <v>8.4410000000000007</v>
      </c>
      <c r="H486" s="67">
        <f>15.6586* CHOOSE(CONTROL!$C$23, $C$13, 100%, $E$13)</f>
        <v>15.6586</v>
      </c>
      <c r="I486" s="67">
        <f>15.6634 * CHOOSE(CONTROL!$C$23, $C$13, 100%, $E$13)</f>
        <v>15.663399999999999</v>
      </c>
      <c r="J486" s="67">
        <f>8.4362 * CHOOSE(CONTROL!$C$23, $C$13, 100%, $E$13)</f>
        <v>8.4361999999999995</v>
      </c>
      <c r="K486" s="67">
        <f>8.441 * CHOOSE(CONTROL!$C$23, $C$13, 100%, $E$13)</f>
        <v>8.4410000000000007</v>
      </c>
    </row>
    <row r="487" spans="1:11" ht="15">
      <c r="A487" s="13">
        <v>55944</v>
      </c>
      <c r="B487" s="66">
        <f>7.2133 * CHOOSE(CONTROL!$C$23, $C$13, 100%, $E$13)</f>
        <v>7.2133000000000003</v>
      </c>
      <c r="C487" s="66">
        <f>7.2133 * CHOOSE(CONTROL!$C$23, $C$13, 100%, $E$13)</f>
        <v>7.2133000000000003</v>
      </c>
      <c r="D487" s="66">
        <f>7.2171 * CHOOSE(CONTROL!$C$23, $C$13, 100%, $E$13)</f>
        <v>7.2171000000000003</v>
      </c>
      <c r="E487" s="67">
        <f>8.5452 * CHOOSE(CONTROL!$C$23, $C$13, 100%, $E$13)</f>
        <v>8.5451999999999995</v>
      </c>
      <c r="F487" s="67">
        <f>8.5452 * CHOOSE(CONTROL!$C$23, $C$13, 100%, $E$13)</f>
        <v>8.5451999999999995</v>
      </c>
      <c r="G487" s="67">
        <f>8.55 * CHOOSE(CONTROL!$C$23, $C$13, 100%, $E$13)</f>
        <v>8.5500000000000007</v>
      </c>
      <c r="H487" s="67">
        <f>15.6912* CHOOSE(CONTROL!$C$23, $C$13, 100%, $E$13)</f>
        <v>15.6912</v>
      </c>
      <c r="I487" s="67">
        <f>15.696 * CHOOSE(CONTROL!$C$23, $C$13, 100%, $E$13)</f>
        <v>15.696</v>
      </c>
      <c r="J487" s="67">
        <f>8.5452 * CHOOSE(CONTROL!$C$23, $C$13, 100%, $E$13)</f>
        <v>8.5451999999999995</v>
      </c>
      <c r="K487" s="67">
        <f>8.55 * CHOOSE(CONTROL!$C$23, $C$13, 100%, $E$13)</f>
        <v>8.5500000000000007</v>
      </c>
    </row>
    <row r="488" spans="1:11" ht="15">
      <c r="A488" s="13">
        <v>55975</v>
      </c>
      <c r="B488" s="66">
        <f>7.2137 * CHOOSE(CONTROL!$C$23, $C$13, 100%, $E$13)</f>
        <v>7.2137000000000002</v>
      </c>
      <c r="C488" s="66">
        <f>7.2137 * CHOOSE(CONTROL!$C$23, $C$13, 100%, $E$13)</f>
        <v>7.2137000000000002</v>
      </c>
      <c r="D488" s="66">
        <f>7.2175 * CHOOSE(CONTROL!$C$23, $C$13, 100%, $E$13)</f>
        <v>7.2175000000000002</v>
      </c>
      <c r="E488" s="67">
        <f>8.6604 * CHOOSE(CONTROL!$C$23, $C$13, 100%, $E$13)</f>
        <v>8.6603999999999992</v>
      </c>
      <c r="F488" s="67">
        <f>8.6604 * CHOOSE(CONTROL!$C$23, $C$13, 100%, $E$13)</f>
        <v>8.6603999999999992</v>
      </c>
      <c r="G488" s="67">
        <f>8.6651 * CHOOSE(CONTROL!$C$23, $C$13, 100%, $E$13)</f>
        <v>8.6651000000000007</v>
      </c>
      <c r="H488" s="67">
        <f>15.7239* CHOOSE(CONTROL!$C$23, $C$13, 100%, $E$13)</f>
        <v>15.7239</v>
      </c>
      <c r="I488" s="67">
        <f>15.7287 * CHOOSE(CONTROL!$C$23, $C$13, 100%, $E$13)</f>
        <v>15.7287</v>
      </c>
      <c r="J488" s="67">
        <f>8.6604 * CHOOSE(CONTROL!$C$23, $C$13, 100%, $E$13)</f>
        <v>8.6603999999999992</v>
      </c>
      <c r="K488" s="67">
        <f>8.6651 * CHOOSE(CONTROL!$C$23, $C$13, 100%, $E$13)</f>
        <v>8.6651000000000007</v>
      </c>
    </row>
    <row r="489" spans="1:11" ht="15">
      <c r="A489" s="13">
        <v>56005</v>
      </c>
      <c r="B489" s="66">
        <f>7.2137 * CHOOSE(CONTROL!$C$23, $C$13, 100%, $E$13)</f>
        <v>7.2137000000000002</v>
      </c>
      <c r="C489" s="66">
        <f>7.2137 * CHOOSE(CONTROL!$C$23, $C$13, 100%, $E$13)</f>
        <v>7.2137000000000002</v>
      </c>
      <c r="D489" s="66">
        <f>7.2192 * CHOOSE(CONTROL!$C$23, $C$13, 100%, $E$13)</f>
        <v>7.2191999999999998</v>
      </c>
      <c r="E489" s="67">
        <f>8.7051 * CHOOSE(CONTROL!$C$23, $C$13, 100%, $E$13)</f>
        <v>8.7050999999999998</v>
      </c>
      <c r="F489" s="67">
        <f>8.7051 * CHOOSE(CONTROL!$C$23, $C$13, 100%, $E$13)</f>
        <v>8.7050999999999998</v>
      </c>
      <c r="G489" s="67">
        <f>8.7119 * CHOOSE(CONTROL!$C$23, $C$13, 100%, $E$13)</f>
        <v>8.7119</v>
      </c>
      <c r="H489" s="67">
        <f>15.7567* CHOOSE(CONTROL!$C$23, $C$13, 100%, $E$13)</f>
        <v>15.7567</v>
      </c>
      <c r="I489" s="67">
        <f>15.7634 * CHOOSE(CONTROL!$C$23, $C$13, 100%, $E$13)</f>
        <v>15.763400000000001</v>
      </c>
      <c r="J489" s="67">
        <f>8.7051 * CHOOSE(CONTROL!$C$23, $C$13, 100%, $E$13)</f>
        <v>8.7050999999999998</v>
      </c>
      <c r="K489" s="67">
        <f>8.7119 * CHOOSE(CONTROL!$C$23, $C$13, 100%, $E$13)</f>
        <v>8.7119</v>
      </c>
    </row>
    <row r="490" spans="1:11" ht="15">
      <c r="A490" s="13">
        <v>56036</v>
      </c>
      <c r="B490" s="66">
        <f>7.2198 * CHOOSE(CONTROL!$C$23, $C$13, 100%, $E$13)</f>
        <v>7.2198000000000002</v>
      </c>
      <c r="C490" s="66">
        <f>7.2198 * CHOOSE(CONTROL!$C$23, $C$13, 100%, $E$13)</f>
        <v>7.2198000000000002</v>
      </c>
      <c r="D490" s="66">
        <f>7.2253 * CHOOSE(CONTROL!$C$23, $C$13, 100%, $E$13)</f>
        <v>7.2252999999999998</v>
      </c>
      <c r="E490" s="67">
        <f>8.6646 * CHOOSE(CONTROL!$C$23, $C$13, 100%, $E$13)</f>
        <v>8.6646000000000001</v>
      </c>
      <c r="F490" s="67">
        <f>8.6646 * CHOOSE(CONTROL!$C$23, $C$13, 100%, $E$13)</f>
        <v>8.6646000000000001</v>
      </c>
      <c r="G490" s="67">
        <f>8.6714 * CHOOSE(CONTROL!$C$23, $C$13, 100%, $E$13)</f>
        <v>8.6714000000000002</v>
      </c>
      <c r="H490" s="67">
        <f>15.7895* CHOOSE(CONTROL!$C$23, $C$13, 100%, $E$13)</f>
        <v>15.7895</v>
      </c>
      <c r="I490" s="67">
        <f>15.7962 * CHOOSE(CONTROL!$C$23, $C$13, 100%, $E$13)</f>
        <v>15.796200000000001</v>
      </c>
      <c r="J490" s="67">
        <f>8.6646 * CHOOSE(CONTROL!$C$23, $C$13, 100%, $E$13)</f>
        <v>8.6646000000000001</v>
      </c>
      <c r="K490" s="67">
        <f>8.6714 * CHOOSE(CONTROL!$C$23, $C$13, 100%, $E$13)</f>
        <v>8.6714000000000002</v>
      </c>
    </row>
    <row r="491" spans="1:11" ht="15">
      <c r="A491" s="13">
        <v>56066</v>
      </c>
      <c r="B491" s="66">
        <f>7.334 * CHOOSE(CONTROL!$C$23, $C$13, 100%, $E$13)</f>
        <v>7.3339999999999996</v>
      </c>
      <c r="C491" s="66">
        <f>7.334 * CHOOSE(CONTROL!$C$23, $C$13, 100%, $E$13)</f>
        <v>7.3339999999999996</v>
      </c>
      <c r="D491" s="66">
        <f>7.3395 * CHOOSE(CONTROL!$C$23, $C$13, 100%, $E$13)</f>
        <v>7.3395000000000001</v>
      </c>
      <c r="E491" s="67">
        <f>8.8078 * CHOOSE(CONTROL!$C$23, $C$13, 100%, $E$13)</f>
        <v>8.8078000000000003</v>
      </c>
      <c r="F491" s="67">
        <f>8.8078 * CHOOSE(CONTROL!$C$23, $C$13, 100%, $E$13)</f>
        <v>8.8078000000000003</v>
      </c>
      <c r="G491" s="67">
        <f>8.8146 * CHOOSE(CONTROL!$C$23, $C$13, 100%, $E$13)</f>
        <v>8.8146000000000004</v>
      </c>
      <c r="H491" s="67">
        <f>15.8224* CHOOSE(CONTROL!$C$23, $C$13, 100%, $E$13)</f>
        <v>15.8224</v>
      </c>
      <c r="I491" s="67">
        <f>15.8291 * CHOOSE(CONTROL!$C$23, $C$13, 100%, $E$13)</f>
        <v>15.8291</v>
      </c>
      <c r="J491" s="67">
        <f>8.8078 * CHOOSE(CONTROL!$C$23, $C$13, 100%, $E$13)</f>
        <v>8.8078000000000003</v>
      </c>
      <c r="K491" s="67">
        <f>8.8146 * CHOOSE(CONTROL!$C$23, $C$13, 100%, $E$13)</f>
        <v>8.8146000000000004</v>
      </c>
    </row>
    <row r="492" spans="1:11" ht="15">
      <c r="A492" s="13">
        <v>56097</v>
      </c>
      <c r="B492" s="66">
        <f>7.3407 * CHOOSE(CONTROL!$C$23, $C$13, 100%, $E$13)</f>
        <v>7.3407</v>
      </c>
      <c r="C492" s="66">
        <f>7.3407 * CHOOSE(CONTROL!$C$23, $C$13, 100%, $E$13)</f>
        <v>7.3407</v>
      </c>
      <c r="D492" s="66">
        <f>7.3462 * CHOOSE(CONTROL!$C$23, $C$13, 100%, $E$13)</f>
        <v>7.3461999999999996</v>
      </c>
      <c r="E492" s="67">
        <f>8.6782 * CHOOSE(CONTROL!$C$23, $C$13, 100%, $E$13)</f>
        <v>8.6782000000000004</v>
      </c>
      <c r="F492" s="67">
        <f>8.6782 * CHOOSE(CONTROL!$C$23, $C$13, 100%, $E$13)</f>
        <v>8.6782000000000004</v>
      </c>
      <c r="G492" s="67">
        <f>8.6849 * CHOOSE(CONTROL!$C$23, $C$13, 100%, $E$13)</f>
        <v>8.6849000000000007</v>
      </c>
      <c r="H492" s="67">
        <f>15.8553* CHOOSE(CONTROL!$C$23, $C$13, 100%, $E$13)</f>
        <v>15.8553</v>
      </c>
      <c r="I492" s="67">
        <f>15.8621 * CHOOSE(CONTROL!$C$23, $C$13, 100%, $E$13)</f>
        <v>15.8621</v>
      </c>
      <c r="J492" s="67">
        <f>8.6782 * CHOOSE(CONTROL!$C$23, $C$13, 100%, $E$13)</f>
        <v>8.6782000000000004</v>
      </c>
      <c r="K492" s="67">
        <f>8.6849 * CHOOSE(CONTROL!$C$23, $C$13, 100%, $E$13)</f>
        <v>8.6849000000000007</v>
      </c>
    </row>
    <row r="493" spans="1:11" ht="15">
      <c r="A493" s="13">
        <v>56128</v>
      </c>
      <c r="B493" s="66">
        <f>7.3377 * CHOOSE(CONTROL!$C$23, $C$13, 100%, $E$13)</f>
        <v>7.3376999999999999</v>
      </c>
      <c r="C493" s="66">
        <f>7.3377 * CHOOSE(CONTROL!$C$23, $C$13, 100%, $E$13)</f>
        <v>7.3376999999999999</v>
      </c>
      <c r="D493" s="66">
        <f>7.3432 * CHOOSE(CONTROL!$C$23, $C$13, 100%, $E$13)</f>
        <v>7.3432000000000004</v>
      </c>
      <c r="E493" s="67">
        <f>8.6611 * CHOOSE(CONTROL!$C$23, $C$13, 100%, $E$13)</f>
        <v>8.6610999999999994</v>
      </c>
      <c r="F493" s="67">
        <f>8.6611 * CHOOSE(CONTROL!$C$23, $C$13, 100%, $E$13)</f>
        <v>8.6610999999999994</v>
      </c>
      <c r="G493" s="67">
        <f>8.6679 * CHOOSE(CONTROL!$C$23, $C$13, 100%, $E$13)</f>
        <v>8.6678999999999995</v>
      </c>
      <c r="H493" s="67">
        <f>15.8884* CHOOSE(CONTROL!$C$23, $C$13, 100%, $E$13)</f>
        <v>15.888400000000001</v>
      </c>
      <c r="I493" s="67">
        <f>15.8951 * CHOOSE(CONTROL!$C$23, $C$13, 100%, $E$13)</f>
        <v>15.895099999999999</v>
      </c>
      <c r="J493" s="67">
        <f>8.6611 * CHOOSE(CONTROL!$C$23, $C$13, 100%, $E$13)</f>
        <v>8.6610999999999994</v>
      </c>
      <c r="K493" s="67">
        <f>8.6679 * CHOOSE(CONTROL!$C$23, $C$13, 100%, $E$13)</f>
        <v>8.6678999999999995</v>
      </c>
    </row>
    <row r="494" spans="1:11" ht="15">
      <c r="A494" s="13">
        <v>56158</v>
      </c>
      <c r="B494" s="66">
        <f>7.3437 * CHOOSE(CONTROL!$C$23, $C$13, 100%, $E$13)</f>
        <v>7.3437000000000001</v>
      </c>
      <c r="C494" s="66">
        <f>7.3437 * CHOOSE(CONTROL!$C$23, $C$13, 100%, $E$13)</f>
        <v>7.3437000000000001</v>
      </c>
      <c r="D494" s="66">
        <f>7.3476 * CHOOSE(CONTROL!$C$23, $C$13, 100%, $E$13)</f>
        <v>7.3475999999999999</v>
      </c>
      <c r="E494" s="67">
        <f>8.7074 * CHOOSE(CONTROL!$C$23, $C$13, 100%, $E$13)</f>
        <v>8.7073999999999998</v>
      </c>
      <c r="F494" s="67">
        <f>8.7074 * CHOOSE(CONTROL!$C$23, $C$13, 100%, $E$13)</f>
        <v>8.7073999999999998</v>
      </c>
      <c r="G494" s="67">
        <f>8.7122 * CHOOSE(CONTROL!$C$23, $C$13, 100%, $E$13)</f>
        <v>8.7121999999999993</v>
      </c>
      <c r="H494" s="67">
        <f>15.9215* CHOOSE(CONTROL!$C$23, $C$13, 100%, $E$13)</f>
        <v>15.9215</v>
      </c>
      <c r="I494" s="67">
        <f>15.9262 * CHOOSE(CONTROL!$C$23, $C$13, 100%, $E$13)</f>
        <v>15.9262</v>
      </c>
      <c r="J494" s="67">
        <f>8.7074 * CHOOSE(CONTROL!$C$23, $C$13, 100%, $E$13)</f>
        <v>8.7073999999999998</v>
      </c>
      <c r="K494" s="67">
        <f>8.7122 * CHOOSE(CONTROL!$C$23, $C$13, 100%, $E$13)</f>
        <v>8.7121999999999993</v>
      </c>
    </row>
    <row r="495" spans="1:11" ht="15">
      <c r="A495" s="13">
        <v>56189</v>
      </c>
      <c r="B495" s="66">
        <f>7.3468 * CHOOSE(CONTROL!$C$23, $C$13, 100%, $E$13)</f>
        <v>7.3468</v>
      </c>
      <c r="C495" s="66">
        <f>7.3468 * CHOOSE(CONTROL!$C$23, $C$13, 100%, $E$13)</f>
        <v>7.3468</v>
      </c>
      <c r="D495" s="66">
        <f>7.3506 * CHOOSE(CONTROL!$C$23, $C$13, 100%, $E$13)</f>
        <v>7.3506</v>
      </c>
      <c r="E495" s="67">
        <f>8.7394 * CHOOSE(CONTROL!$C$23, $C$13, 100%, $E$13)</f>
        <v>8.7393999999999998</v>
      </c>
      <c r="F495" s="67">
        <f>8.7394 * CHOOSE(CONTROL!$C$23, $C$13, 100%, $E$13)</f>
        <v>8.7393999999999998</v>
      </c>
      <c r="G495" s="67">
        <f>8.7441 * CHOOSE(CONTROL!$C$23, $C$13, 100%, $E$13)</f>
        <v>8.7440999999999995</v>
      </c>
      <c r="H495" s="67">
        <f>15.9546* CHOOSE(CONTROL!$C$23, $C$13, 100%, $E$13)</f>
        <v>15.954599999999999</v>
      </c>
      <c r="I495" s="67">
        <f>15.9594 * CHOOSE(CONTROL!$C$23, $C$13, 100%, $E$13)</f>
        <v>15.9594</v>
      </c>
      <c r="J495" s="67">
        <f>8.7394 * CHOOSE(CONTROL!$C$23, $C$13, 100%, $E$13)</f>
        <v>8.7393999999999998</v>
      </c>
      <c r="K495" s="67">
        <f>8.7441 * CHOOSE(CONTROL!$C$23, $C$13, 100%, $E$13)</f>
        <v>8.7440999999999995</v>
      </c>
    </row>
    <row r="496" spans="1:11" ht="15">
      <c r="A496" s="13">
        <v>56219</v>
      </c>
      <c r="B496" s="66">
        <f>7.3468 * CHOOSE(CONTROL!$C$23, $C$13, 100%, $E$13)</f>
        <v>7.3468</v>
      </c>
      <c r="C496" s="66">
        <f>7.3468 * CHOOSE(CONTROL!$C$23, $C$13, 100%, $E$13)</f>
        <v>7.3468</v>
      </c>
      <c r="D496" s="66">
        <f>7.3506 * CHOOSE(CONTROL!$C$23, $C$13, 100%, $E$13)</f>
        <v>7.3506</v>
      </c>
      <c r="E496" s="67">
        <f>8.6648 * CHOOSE(CONTROL!$C$23, $C$13, 100%, $E$13)</f>
        <v>8.6647999999999996</v>
      </c>
      <c r="F496" s="67">
        <f>8.6648 * CHOOSE(CONTROL!$C$23, $C$13, 100%, $E$13)</f>
        <v>8.6647999999999996</v>
      </c>
      <c r="G496" s="67">
        <f>8.6695 * CHOOSE(CONTROL!$C$23, $C$13, 100%, $E$13)</f>
        <v>8.6694999999999993</v>
      </c>
      <c r="H496" s="67">
        <f>15.9879* CHOOSE(CONTROL!$C$23, $C$13, 100%, $E$13)</f>
        <v>15.9879</v>
      </c>
      <c r="I496" s="67">
        <f>15.9926 * CHOOSE(CONTROL!$C$23, $C$13, 100%, $E$13)</f>
        <v>15.992599999999999</v>
      </c>
      <c r="J496" s="67">
        <f>8.6648 * CHOOSE(CONTROL!$C$23, $C$13, 100%, $E$13)</f>
        <v>8.6647999999999996</v>
      </c>
      <c r="K496" s="67">
        <f>8.6695 * CHOOSE(CONTROL!$C$23, $C$13, 100%, $E$13)</f>
        <v>8.6694999999999993</v>
      </c>
    </row>
    <row r="497" spans="1:11" ht="15">
      <c r="A497" s="13">
        <v>56250</v>
      </c>
      <c r="B497" s="66">
        <f>7.4101 * CHOOSE(CONTROL!$C$23, $C$13, 100%, $E$13)</f>
        <v>7.4100999999999999</v>
      </c>
      <c r="C497" s="66">
        <f>7.4101 * CHOOSE(CONTROL!$C$23, $C$13, 100%, $E$13)</f>
        <v>7.4100999999999999</v>
      </c>
      <c r="D497" s="66">
        <f>7.414 * CHOOSE(CONTROL!$C$23, $C$13, 100%, $E$13)</f>
        <v>7.4139999999999997</v>
      </c>
      <c r="E497" s="67">
        <f>8.7891 * CHOOSE(CONTROL!$C$23, $C$13, 100%, $E$13)</f>
        <v>8.7890999999999995</v>
      </c>
      <c r="F497" s="67">
        <f>8.7891 * CHOOSE(CONTROL!$C$23, $C$13, 100%, $E$13)</f>
        <v>8.7890999999999995</v>
      </c>
      <c r="G497" s="67">
        <f>8.7938 * CHOOSE(CONTROL!$C$23, $C$13, 100%, $E$13)</f>
        <v>8.7937999999999992</v>
      </c>
      <c r="H497" s="67">
        <f>16.0212* CHOOSE(CONTROL!$C$23, $C$13, 100%, $E$13)</f>
        <v>16.0212</v>
      </c>
      <c r="I497" s="67">
        <f>16.026 * CHOOSE(CONTROL!$C$23, $C$13, 100%, $E$13)</f>
        <v>16.026</v>
      </c>
      <c r="J497" s="67">
        <f>8.7891 * CHOOSE(CONTROL!$C$23, $C$13, 100%, $E$13)</f>
        <v>8.7890999999999995</v>
      </c>
      <c r="K497" s="67">
        <f>8.7938 * CHOOSE(CONTROL!$C$23, $C$13, 100%, $E$13)</f>
        <v>8.7937999999999992</v>
      </c>
    </row>
    <row r="498" spans="1:11" ht="15">
      <c r="A498" s="13">
        <v>56281</v>
      </c>
      <c r="B498" s="66">
        <f>7.4071 * CHOOSE(CONTROL!$C$23, $C$13, 100%, $E$13)</f>
        <v>7.4070999999999998</v>
      </c>
      <c r="C498" s="66">
        <f>7.4071 * CHOOSE(CONTROL!$C$23, $C$13, 100%, $E$13)</f>
        <v>7.4070999999999998</v>
      </c>
      <c r="D498" s="66">
        <f>7.411 * CHOOSE(CONTROL!$C$23, $C$13, 100%, $E$13)</f>
        <v>7.4109999999999996</v>
      </c>
      <c r="E498" s="67">
        <f>8.642 * CHOOSE(CONTROL!$C$23, $C$13, 100%, $E$13)</f>
        <v>8.6419999999999995</v>
      </c>
      <c r="F498" s="67">
        <f>8.642 * CHOOSE(CONTROL!$C$23, $C$13, 100%, $E$13)</f>
        <v>8.6419999999999995</v>
      </c>
      <c r="G498" s="67">
        <f>8.6468 * CHOOSE(CONTROL!$C$23, $C$13, 100%, $E$13)</f>
        <v>8.6468000000000007</v>
      </c>
      <c r="H498" s="67">
        <f>16.0546* CHOOSE(CONTROL!$C$23, $C$13, 100%, $E$13)</f>
        <v>16.054600000000001</v>
      </c>
      <c r="I498" s="67">
        <f>16.0593 * CHOOSE(CONTROL!$C$23, $C$13, 100%, $E$13)</f>
        <v>16.0593</v>
      </c>
      <c r="J498" s="67">
        <f>8.642 * CHOOSE(CONTROL!$C$23, $C$13, 100%, $E$13)</f>
        <v>8.6419999999999995</v>
      </c>
      <c r="K498" s="67">
        <f>8.6468 * CHOOSE(CONTROL!$C$23, $C$13, 100%, $E$13)</f>
        <v>8.6468000000000007</v>
      </c>
    </row>
    <row r="499" spans="1:11" ht="15">
      <c r="A499" s="13">
        <v>56309</v>
      </c>
      <c r="B499" s="66">
        <f>7.4041 * CHOOSE(CONTROL!$C$23, $C$13, 100%, $E$13)</f>
        <v>7.4040999999999997</v>
      </c>
      <c r="C499" s="66">
        <f>7.4041 * CHOOSE(CONTROL!$C$23, $C$13, 100%, $E$13)</f>
        <v>7.4040999999999997</v>
      </c>
      <c r="D499" s="66">
        <f>7.4079 * CHOOSE(CONTROL!$C$23, $C$13, 100%, $E$13)</f>
        <v>7.4078999999999997</v>
      </c>
      <c r="E499" s="67">
        <f>8.7542 * CHOOSE(CONTROL!$C$23, $C$13, 100%, $E$13)</f>
        <v>8.7542000000000009</v>
      </c>
      <c r="F499" s="67">
        <f>8.7542 * CHOOSE(CONTROL!$C$23, $C$13, 100%, $E$13)</f>
        <v>8.7542000000000009</v>
      </c>
      <c r="G499" s="67">
        <f>8.7589 * CHOOSE(CONTROL!$C$23, $C$13, 100%, $E$13)</f>
        <v>8.7589000000000006</v>
      </c>
      <c r="H499" s="67">
        <f>16.088* CHOOSE(CONTROL!$C$23, $C$13, 100%, $E$13)</f>
        <v>16.088000000000001</v>
      </c>
      <c r="I499" s="67">
        <f>16.0928 * CHOOSE(CONTROL!$C$23, $C$13, 100%, $E$13)</f>
        <v>16.0928</v>
      </c>
      <c r="J499" s="67">
        <f>8.7542 * CHOOSE(CONTROL!$C$23, $C$13, 100%, $E$13)</f>
        <v>8.7542000000000009</v>
      </c>
      <c r="K499" s="67">
        <f>8.7589 * CHOOSE(CONTROL!$C$23, $C$13, 100%, $E$13)</f>
        <v>8.7589000000000006</v>
      </c>
    </row>
    <row r="500" spans="1:11" ht="15">
      <c r="A500" s="13">
        <v>56340</v>
      </c>
      <c r="B500" s="66">
        <f>7.4046 * CHOOSE(CONTROL!$C$23, $C$13, 100%, $E$13)</f>
        <v>7.4046000000000003</v>
      </c>
      <c r="C500" s="66">
        <f>7.4046 * CHOOSE(CONTROL!$C$23, $C$13, 100%, $E$13)</f>
        <v>7.4046000000000003</v>
      </c>
      <c r="D500" s="66">
        <f>7.4085 * CHOOSE(CONTROL!$C$23, $C$13, 100%, $E$13)</f>
        <v>7.4085000000000001</v>
      </c>
      <c r="E500" s="67">
        <f>8.8727 * CHOOSE(CONTROL!$C$23, $C$13, 100%, $E$13)</f>
        <v>8.8727</v>
      </c>
      <c r="F500" s="67">
        <f>8.8727 * CHOOSE(CONTROL!$C$23, $C$13, 100%, $E$13)</f>
        <v>8.8727</v>
      </c>
      <c r="G500" s="67">
        <f>8.8774 * CHOOSE(CONTROL!$C$23, $C$13, 100%, $E$13)</f>
        <v>8.8773999999999997</v>
      </c>
      <c r="H500" s="67">
        <f>16.1215* CHOOSE(CONTROL!$C$23, $C$13, 100%, $E$13)</f>
        <v>16.121500000000001</v>
      </c>
      <c r="I500" s="67">
        <f>16.1263 * CHOOSE(CONTROL!$C$23, $C$13, 100%, $E$13)</f>
        <v>16.126300000000001</v>
      </c>
      <c r="J500" s="67">
        <f>8.8727 * CHOOSE(CONTROL!$C$23, $C$13, 100%, $E$13)</f>
        <v>8.8727</v>
      </c>
      <c r="K500" s="67">
        <f>8.8774 * CHOOSE(CONTROL!$C$23, $C$13, 100%, $E$13)</f>
        <v>8.8773999999999997</v>
      </c>
    </row>
    <row r="501" spans="1:11" ht="15">
      <c r="A501" s="13">
        <v>56370</v>
      </c>
      <c r="B501" s="66">
        <f>7.4046 * CHOOSE(CONTROL!$C$23, $C$13, 100%, $E$13)</f>
        <v>7.4046000000000003</v>
      </c>
      <c r="C501" s="66">
        <f>7.4046 * CHOOSE(CONTROL!$C$23, $C$13, 100%, $E$13)</f>
        <v>7.4046000000000003</v>
      </c>
      <c r="D501" s="66">
        <f>7.4101 * CHOOSE(CONTROL!$C$23, $C$13, 100%, $E$13)</f>
        <v>7.4100999999999999</v>
      </c>
      <c r="E501" s="67">
        <f>8.9187 * CHOOSE(CONTROL!$C$23, $C$13, 100%, $E$13)</f>
        <v>8.9186999999999994</v>
      </c>
      <c r="F501" s="67">
        <f>8.9187 * CHOOSE(CONTROL!$C$23, $C$13, 100%, $E$13)</f>
        <v>8.9186999999999994</v>
      </c>
      <c r="G501" s="67">
        <f>8.9254 * CHOOSE(CONTROL!$C$23, $C$13, 100%, $E$13)</f>
        <v>8.9253999999999998</v>
      </c>
      <c r="H501" s="67">
        <f>16.1551* CHOOSE(CONTROL!$C$23, $C$13, 100%, $E$13)</f>
        <v>16.155100000000001</v>
      </c>
      <c r="I501" s="67">
        <f>16.1619 * CHOOSE(CONTROL!$C$23, $C$13, 100%, $E$13)</f>
        <v>16.161899999999999</v>
      </c>
      <c r="J501" s="67">
        <f>8.9187 * CHOOSE(CONTROL!$C$23, $C$13, 100%, $E$13)</f>
        <v>8.9186999999999994</v>
      </c>
      <c r="K501" s="67">
        <f>8.9254 * CHOOSE(CONTROL!$C$23, $C$13, 100%, $E$13)</f>
        <v>8.9253999999999998</v>
      </c>
    </row>
    <row r="502" spans="1:11" ht="15">
      <c r="A502" s="13">
        <v>56401</v>
      </c>
      <c r="B502" s="66">
        <f>7.4107 * CHOOSE(CONTROL!$C$23, $C$13, 100%, $E$13)</f>
        <v>7.4107000000000003</v>
      </c>
      <c r="C502" s="66">
        <f>7.4107 * CHOOSE(CONTROL!$C$23, $C$13, 100%, $E$13)</f>
        <v>7.4107000000000003</v>
      </c>
      <c r="D502" s="66">
        <f>7.4162 * CHOOSE(CONTROL!$C$23, $C$13, 100%, $E$13)</f>
        <v>7.4161999999999999</v>
      </c>
      <c r="E502" s="67">
        <f>8.8769 * CHOOSE(CONTROL!$C$23, $C$13, 100%, $E$13)</f>
        <v>8.8768999999999991</v>
      </c>
      <c r="F502" s="67">
        <f>8.8769 * CHOOSE(CONTROL!$C$23, $C$13, 100%, $E$13)</f>
        <v>8.8768999999999991</v>
      </c>
      <c r="G502" s="67">
        <f>8.8836 * CHOOSE(CONTROL!$C$23, $C$13, 100%, $E$13)</f>
        <v>8.8835999999999995</v>
      </c>
      <c r="H502" s="67">
        <f>16.1888* CHOOSE(CONTROL!$C$23, $C$13, 100%, $E$13)</f>
        <v>16.188800000000001</v>
      </c>
      <c r="I502" s="67">
        <f>16.1955 * CHOOSE(CONTROL!$C$23, $C$13, 100%, $E$13)</f>
        <v>16.195499999999999</v>
      </c>
      <c r="J502" s="67">
        <f>8.8769 * CHOOSE(CONTROL!$C$23, $C$13, 100%, $E$13)</f>
        <v>8.8768999999999991</v>
      </c>
      <c r="K502" s="67">
        <f>8.8836 * CHOOSE(CONTROL!$C$23, $C$13, 100%, $E$13)</f>
        <v>8.8835999999999995</v>
      </c>
    </row>
    <row r="503" spans="1:11" ht="15">
      <c r="A503" s="13">
        <v>56431</v>
      </c>
      <c r="B503" s="66">
        <f>7.5277 * CHOOSE(CONTROL!$C$23, $C$13, 100%, $E$13)</f>
        <v>7.5277000000000003</v>
      </c>
      <c r="C503" s="66">
        <f>7.5277 * CHOOSE(CONTROL!$C$23, $C$13, 100%, $E$13)</f>
        <v>7.5277000000000003</v>
      </c>
      <c r="D503" s="66">
        <f>7.5332 * CHOOSE(CONTROL!$C$23, $C$13, 100%, $E$13)</f>
        <v>7.5331999999999999</v>
      </c>
      <c r="E503" s="67">
        <f>9.0233 * CHOOSE(CONTROL!$C$23, $C$13, 100%, $E$13)</f>
        <v>9.0233000000000008</v>
      </c>
      <c r="F503" s="67">
        <f>9.0233 * CHOOSE(CONTROL!$C$23, $C$13, 100%, $E$13)</f>
        <v>9.0233000000000008</v>
      </c>
      <c r="G503" s="67">
        <f>9.0301 * CHOOSE(CONTROL!$C$23, $C$13, 100%, $E$13)</f>
        <v>9.0300999999999991</v>
      </c>
      <c r="H503" s="67">
        <f>16.2225* CHOOSE(CONTROL!$C$23, $C$13, 100%, $E$13)</f>
        <v>16.2225</v>
      </c>
      <c r="I503" s="67">
        <f>16.2292 * CHOOSE(CONTROL!$C$23, $C$13, 100%, $E$13)</f>
        <v>16.229199999999999</v>
      </c>
      <c r="J503" s="67">
        <f>9.0233 * CHOOSE(CONTROL!$C$23, $C$13, 100%, $E$13)</f>
        <v>9.0233000000000008</v>
      </c>
      <c r="K503" s="67">
        <f>9.0301 * CHOOSE(CONTROL!$C$23, $C$13, 100%, $E$13)</f>
        <v>9.0300999999999991</v>
      </c>
    </row>
    <row r="504" spans="1:11" ht="15">
      <c r="A504" s="13">
        <v>56462</v>
      </c>
      <c r="B504" s="66">
        <f>7.5344 * CHOOSE(CONTROL!$C$23, $C$13, 100%, $E$13)</f>
        <v>7.5343999999999998</v>
      </c>
      <c r="C504" s="66">
        <f>7.5344 * CHOOSE(CONTROL!$C$23, $C$13, 100%, $E$13)</f>
        <v>7.5343999999999998</v>
      </c>
      <c r="D504" s="66">
        <f>7.5399 * CHOOSE(CONTROL!$C$23, $C$13, 100%, $E$13)</f>
        <v>7.5399000000000003</v>
      </c>
      <c r="E504" s="67">
        <f>8.8899 * CHOOSE(CONTROL!$C$23, $C$13, 100%, $E$13)</f>
        <v>8.8899000000000008</v>
      </c>
      <c r="F504" s="67">
        <f>8.8899 * CHOOSE(CONTROL!$C$23, $C$13, 100%, $E$13)</f>
        <v>8.8899000000000008</v>
      </c>
      <c r="G504" s="67">
        <f>8.8967 * CHOOSE(CONTROL!$C$23, $C$13, 100%, $E$13)</f>
        <v>8.8966999999999992</v>
      </c>
      <c r="H504" s="67">
        <f>16.2563* CHOOSE(CONTROL!$C$23, $C$13, 100%, $E$13)</f>
        <v>16.2563</v>
      </c>
      <c r="I504" s="67">
        <f>16.263 * CHOOSE(CONTROL!$C$23, $C$13, 100%, $E$13)</f>
        <v>16.263000000000002</v>
      </c>
      <c r="J504" s="67">
        <f>8.8899 * CHOOSE(CONTROL!$C$23, $C$13, 100%, $E$13)</f>
        <v>8.8899000000000008</v>
      </c>
      <c r="K504" s="67">
        <f>8.8967 * CHOOSE(CONTROL!$C$23, $C$13, 100%, $E$13)</f>
        <v>8.8966999999999992</v>
      </c>
    </row>
    <row r="505" spans="1:11" ht="15">
      <c r="A505" s="13">
        <v>56493</v>
      </c>
      <c r="B505" s="66">
        <f>7.5314 * CHOOSE(CONTROL!$C$23, $C$13, 100%, $E$13)</f>
        <v>7.5313999999999997</v>
      </c>
      <c r="C505" s="66">
        <f>7.5314 * CHOOSE(CONTROL!$C$23, $C$13, 100%, $E$13)</f>
        <v>7.5313999999999997</v>
      </c>
      <c r="D505" s="66">
        <f>7.5369 * CHOOSE(CONTROL!$C$23, $C$13, 100%, $E$13)</f>
        <v>7.5369000000000002</v>
      </c>
      <c r="E505" s="67">
        <f>8.8725 * CHOOSE(CONTROL!$C$23, $C$13, 100%, $E$13)</f>
        <v>8.8725000000000005</v>
      </c>
      <c r="F505" s="67">
        <f>8.8725 * CHOOSE(CONTROL!$C$23, $C$13, 100%, $E$13)</f>
        <v>8.8725000000000005</v>
      </c>
      <c r="G505" s="67">
        <f>8.8792 * CHOOSE(CONTROL!$C$23, $C$13, 100%, $E$13)</f>
        <v>8.8792000000000009</v>
      </c>
      <c r="H505" s="67">
        <f>16.2902* CHOOSE(CONTROL!$C$23, $C$13, 100%, $E$13)</f>
        <v>16.290199999999999</v>
      </c>
      <c r="I505" s="67">
        <f>16.2969 * CHOOSE(CONTROL!$C$23, $C$13, 100%, $E$13)</f>
        <v>16.296900000000001</v>
      </c>
      <c r="J505" s="67">
        <f>8.8725 * CHOOSE(CONTROL!$C$23, $C$13, 100%, $E$13)</f>
        <v>8.8725000000000005</v>
      </c>
      <c r="K505" s="67">
        <f>8.8792 * CHOOSE(CONTROL!$C$23, $C$13, 100%, $E$13)</f>
        <v>8.8792000000000009</v>
      </c>
    </row>
    <row r="506" spans="1:11" ht="15">
      <c r="A506" s="13">
        <v>56523</v>
      </c>
      <c r="B506" s="66">
        <f>7.5381 * CHOOSE(CONTROL!$C$23, $C$13, 100%, $E$13)</f>
        <v>7.5381</v>
      </c>
      <c r="C506" s="66">
        <f>7.5381 * CHOOSE(CONTROL!$C$23, $C$13, 100%, $E$13)</f>
        <v>7.5381</v>
      </c>
      <c r="D506" s="66">
        <f>7.5419 * CHOOSE(CONTROL!$C$23, $C$13, 100%, $E$13)</f>
        <v>7.5419</v>
      </c>
      <c r="E506" s="67">
        <f>8.9204 * CHOOSE(CONTROL!$C$23, $C$13, 100%, $E$13)</f>
        <v>8.9204000000000008</v>
      </c>
      <c r="F506" s="67">
        <f>8.9204 * CHOOSE(CONTROL!$C$23, $C$13, 100%, $E$13)</f>
        <v>8.9204000000000008</v>
      </c>
      <c r="G506" s="67">
        <f>8.9252 * CHOOSE(CONTROL!$C$23, $C$13, 100%, $E$13)</f>
        <v>8.9252000000000002</v>
      </c>
      <c r="H506" s="67">
        <f>16.3241* CHOOSE(CONTROL!$C$23, $C$13, 100%, $E$13)</f>
        <v>16.324100000000001</v>
      </c>
      <c r="I506" s="67">
        <f>16.3289 * CHOOSE(CONTROL!$C$23, $C$13, 100%, $E$13)</f>
        <v>16.328900000000001</v>
      </c>
      <c r="J506" s="67">
        <f>8.9204 * CHOOSE(CONTROL!$C$23, $C$13, 100%, $E$13)</f>
        <v>8.9204000000000008</v>
      </c>
      <c r="K506" s="67">
        <f>8.9252 * CHOOSE(CONTROL!$C$23, $C$13, 100%, $E$13)</f>
        <v>8.9252000000000002</v>
      </c>
    </row>
    <row r="507" spans="1:11" ht="15">
      <c r="A507" s="13">
        <v>56554</v>
      </c>
      <c r="B507" s="66">
        <f>7.5411 * CHOOSE(CONTROL!$C$23, $C$13, 100%, $E$13)</f>
        <v>7.5411000000000001</v>
      </c>
      <c r="C507" s="66">
        <f>7.5411 * CHOOSE(CONTROL!$C$23, $C$13, 100%, $E$13)</f>
        <v>7.5411000000000001</v>
      </c>
      <c r="D507" s="66">
        <f>7.545 * CHOOSE(CONTROL!$C$23, $C$13, 100%, $E$13)</f>
        <v>7.5449999999999999</v>
      </c>
      <c r="E507" s="67">
        <f>8.9532 * CHOOSE(CONTROL!$C$23, $C$13, 100%, $E$13)</f>
        <v>8.9532000000000007</v>
      </c>
      <c r="F507" s="67">
        <f>8.9532 * CHOOSE(CONTROL!$C$23, $C$13, 100%, $E$13)</f>
        <v>8.9532000000000007</v>
      </c>
      <c r="G507" s="67">
        <f>8.958 * CHOOSE(CONTROL!$C$23, $C$13, 100%, $E$13)</f>
        <v>8.9580000000000002</v>
      </c>
      <c r="H507" s="67">
        <f>16.3581* CHOOSE(CONTROL!$C$23, $C$13, 100%, $E$13)</f>
        <v>16.3581</v>
      </c>
      <c r="I507" s="67">
        <f>16.3629 * CHOOSE(CONTROL!$C$23, $C$13, 100%, $E$13)</f>
        <v>16.3629</v>
      </c>
      <c r="J507" s="67">
        <f>8.9532 * CHOOSE(CONTROL!$C$23, $C$13, 100%, $E$13)</f>
        <v>8.9532000000000007</v>
      </c>
      <c r="K507" s="67">
        <f>8.958 * CHOOSE(CONTROL!$C$23, $C$13, 100%, $E$13)</f>
        <v>8.9580000000000002</v>
      </c>
    </row>
    <row r="508" spans="1:11" ht="15">
      <c r="A508" s="13">
        <v>56584</v>
      </c>
      <c r="B508" s="66">
        <f>7.5411 * CHOOSE(CONTROL!$C$23, $C$13, 100%, $E$13)</f>
        <v>7.5411000000000001</v>
      </c>
      <c r="C508" s="66">
        <f>7.5411 * CHOOSE(CONTROL!$C$23, $C$13, 100%, $E$13)</f>
        <v>7.5411000000000001</v>
      </c>
      <c r="D508" s="66">
        <f>7.545 * CHOOSE(CONTROL!$C$23, $C$13, 100%, $E$13)</f>
        <v>7.5449999999999999</v>
      </c>
      <c r="E508" s="67">
        <f>8.8765 * CHOOSE(CONTROL!$C$23, $C$13, 100%, $E$13)</f>
        <v>8.8765000000000001</v>
      </c>
      <c r="F508" s="67">
        <f>8.8765 * CHOOSE(CONTROL!$C$23, $C$13, 100%, $E$13)</f>
        <v>8.8765000000000001</v>
      </c>
      <c r="G508" s="67">
        <f>8.8813 * CHOOSE(CONTROL!$C$23, $C$13, 100%, $E$13)</f>
        <v>8.8812999999999995</v>
      </c>
      <c r="H508" s="67">
        <f>16.3922* CHOOSE(CONTROL!$C$23, $C$13, 100%, $E$13)</f>
        <v>16.392199999999999</v>
      </c>
      <c r="I508" s="67">
        <f>16.397 * CHOOSE(CONTROL!$C$23, $C$13, 100%, $E$13)</f>
        <v>16.396999999999998</v>
      </c>
      <c r="J508" s="67">
        <f>8.8765 * CHOOSE(CONTROL!$C$23, $C$13, 100%, $E$13)</f>
        <v>8.8765000000000001</v>
      </c>
      <c r="K508" s="67">
        <f>8.8813 * CHOOSE(CONTROL!$C$23, $C$13, 100%, $E$13)</f>
        <v>8.8812999999999995</v>
      </c>
    </row>
    <row r="509" spans="1:11" ht="15">
      <c r="A509" s="13">
        <v>56615</v>
      </c>
      <c r="B509" s="66">
        <f>7.606 * CHOOSE(CONTROL!$C$23, $C$13, 100%, $E$13)</f>
        <v>7.6059999999999999</v>
      </c>
      <c r="C509" s="66">
        <f>7.606 * CHOOSE(CONTROL!$C$23, $C$13, 100%, $E$13)</f>
        <v>7.6059999999999999</v>
      </c>
      <c r="D509" s="66">
        <f>7.6099 * CHOOSE(CONTROL!$C$23, $C$13, 100%, $E$13)</f>
        <v>7.6098999999999997</v>
      </c>
      <c r="E509" s="67">
        <f>9.004 * CHOOSE(CONTROL!$C$23, $C$13, 100%, $E$13)</f>
        <v>9.0039999999999996</v>
      </c>
      <c r="F509" s="67">
        <f>9.004 * CHOOSE(CONTROL!$C$23, $C$13, 100%, $E$13)</f>
        <v>9.0039999999999996</v>
      </c>
      <c r="G509" s="67">
        <f>9.0088 * CHOOSE(CONTROL!$C$23, $C$13, 100%, $E$13)</f>
        <v>9.0088000000000008</v>
      </c>
      <c r="H509" s="67">
        <f>16.4263* CHOOSE(CONTROL!$C$23, $C$13, 100%, $E$13)</f>
        <v>16.426300000000001</v>
      </c>
      <c r="I509" s="67">
        <f>16.4311 * CHOOSE(CONTROL!$C$23, $C$13, 100%, $E$13)</f>
        <v>16.431100000000001</v>
      </c>
      <c r="J509" s="67">
        <f>9.004 * CHOOSE(CONTROL!$C$23, $C$13, 100%, $E$13)</f>
        <v>9.0039999999999996</v>
      </c>
      <c r="K509" s="67">
        <f>9.0088 * CHOOSE(CONTROL!$C$23, $C$13, 100%, $E$13)</f>
        <v>9.0088000000000008</v>
      </c>
    </row>
    <row r="510" spans="1:11" ht="15">
      <c r="A510" s="13">
        <v>56646</v>
      </c>
      <c r="B510" s="66">
        <f>7.603 * CHOOSE(CONTROL!$C$23, $C$13, 100%, $E$13)</f>
        <v>7.6029999999999998</v>
      </c>
      <c r="C510" s="66">
        <f>7.603 * CHOOSE(CONTROL!$C$23, $C$13, 100%, $E$13)</f>
        <v>7.6029999999999998</v>
      </c>
      <c r="D510" s="66">
        <f>7.6069 * CHOOSE(CONTROL!$C$23, $C$13, 100%, $E$13)</f>
        <v>7.6069000000000004</v>
      </c>
      <c r="E510" s="67">
        <f>8.8528 * CHOOSE(CONTROL!$C$23, $C$13, 100%, $E$13)</f>
        <v>8.8528000000000002</v>
      </c>
      <c r="F510" s="67">
        <f>8.8528 * CHOOSE(CONTROL!$C$23, $C$13, 100%, $E$13)</f>
        <v>8.8528000000000002</v>
      </c>
      <c r="G510" s="67">
        <f>8.8576 * CHOOSE(CONTROL!$C$23, $C$13, 100%, $E$13)</f>
        <v>8.8575999999999997</v>
      </c>
      <c r="H510" s="67">
        <f>16.4606* CHOOSE(CONTROL!$C$23, $C$13, 100%, $E$13)</f>
        <v>16.460599999999999</v>
      </c>
      <c r="I510" s="67">
        <f>16.4653 * CHOOSE(CONTROL!$C$23, $C$13, 100%, $E$13)</f>
        <v>16.465299999999999</v>
      </c>
      <c r="J510" s="67">
        <f>8.8528 * CHOOSE(CONTROL!$C$23, $C$13, 100%, $E$13)</f>
        <v>8.8528000000000002</v>
      </c>
      <c r="K510" s="67">
        <f>8.8576 * CHOOSE(CONTROL!$C$23, $C$13, 100%, $E$13)</f>
        <v>8.8575999999999997</v>
      </c>
    </row>
    <row r="511" spans="1:11" ht="15">
      <c r="A511" s="13">
        <v>56674</v>
      </c>
      <c r="B511" s="66">
        <f>7.6 * CHOOSE(CONTROL!$C$23, $C$13, 100%, $E$13)</f>
        <v>7.6</v>
      </c>
      <c r="C511" s="66">
        <f>7.6 * CHOOSE(CONTROL!$C$23, $C$13, 100%, $E$13)</f>
        <v>7.6</v>
      </c>
      <c r="D511" s="66">
        <f>7.6038 * CHOOSE(CONTROL!$C$23, $C$13, 100%, $E$13)</f>
        <v>7.6037999999999997</v>
      </c>
      <c r="E511" s="67">
        <f>8.9682 * CHOOSE(CONTROL!$C$23, $C$13, 100%, $E$13)</f>
        <v>8.9681999999999995</v>
      </c>
      <c r="F511" s="67">
        <f>8.9682 * CHOOSE(CONTROL!$C$23, $C$13, 100%, $E$13)</f>
        <v>8.9681999999999995</v>
      </c>
      <c r="G511" s="67">
        <f>8.973 * CHOOSE(CONTROL!$C$23, $C$13, 100%, $E$13)</f>
        <v>8.9730000000000008</v>
      </c>
      <c r="H511" s="67">
        <f>16.4949* CHOOSE(CONTROL!$C$23, $C$13, 100%, $E$13)</f>
        <v>16.494900000000001</v>
      </c>
      <c r="I511" s="67">
        <f>16.4996 * CHOOSE(CONTROL!$C$23, $C$13, 100%, $E$13)</f>
        <v>16.499600000000001</v>
      </c>
      <c r="J511" s="67">
        <f>8.9682 * CHOOSE(CONTROL!$C$23, $C$13, 100%, $E$13)</f>
        <v>8.9681999999999995</v>
      </c>
      <c r="K511" s="67">
        <f>8.973 * CHOOSE(CONTROL!$C$23, $C$13, 100%, $E$13)</f>
        <v>8.9730000000000008</v>
      </c>
    </row>
    <row r="512" spans="1:11" ht="15">
      <c r="A512" s="13">
        <v>56705</v>
      </c>
      <c r="B512" s="66">
        <f>7.6007 * CHOOSE(CONTROL!$C$23, $C$13, 100%, $E$13)</f>
        <v>7.6006999999999998</v>
      </c>
      <c r="C512" s="66">
        <f>7.6007 * CHOOSE(CONTROL!$C$23, $C$13, 100%, $E$13)</f>
        <v>7.6006999999999998</v>
      </c>
      <c r="D512" s="66">
        <f>7.6045 * CHOOSE(CONTROL!$C$23, $C$13, 100%, $E$13)</f>
        <v>7.6044999999999998</v>
      </c>
      <c r="E512" s="67">
        <f>9.0901 * CHOOSE(CONTROL!$C$23, $C$13, 100%, $E$13)</f>
        <v>9.0900999999999996</v>
      </c>
      <c r="F512" s="67">
        <f>9.0901 * CHOOSE(CONTROL!$C$23, $C$13, 100%, $E$13)</f>
        <v>9.0900999999999996</v>
      </c>
      <c r="G512" s="67">
        <f>9.0949 * CHOOSE(CONTROL!$C$23, $C$13, 100%, $E$13)</f>
        <v>9.0949000000000009</v>
      </c>
      <c r="H512" s="67">
        <f>16.5292* CHOOSE(CONTROL!$C$23, $C$13, 100%, $E$13)</f>
        <v>16.529199999999999</v>
      </c>
      <c r="I512" s="67">
        <f>16.534 * CHOOSE(CONTROL!$C$23, $C$13, 100%, $E$13)</f>
        <v>16.533999999999999</v>
      </c>
      <c r="J512" s="67">
        <f>9.0901 * CHOOSE(CONTROL!$C$23, $C$13, 100%, $E$13)</f>
        <v>9.0900999999999996</v>
      </c>
      <c r="K512" s="67">
        <f>9.0949 * CHOOSE(CONTROL!$C$23, $C$13, 100%, $E$13)</f>
        <v>9.0949000000000009</v>
      </c>
    </row>
    <row r="513" spans="1:11" ht="15">
      <c r="A513" s="13">
        <v>56735</v>
      </c>
      <c r="B513" s="66">
        <f>7.6007 * CHOOSE(CONTROL!$C$23, $C$13, 100%, $E$13)</f>
        <v>7.6006999999999998</v>
      </c>
      <c r="C513" s="66">
        <f>7.6007 * CHOOSE(CONTROL!$C$23, $C$13, 100%, $E$13)</f>
        <v>7.6006999999999998</v>
      </c>
      <c r="D513" s="66">
        <f>7.6062 * CHOOSE(CONTROL!$C$23, $C$13, 100%, $E$13)</f>
        <v>7.6062000000000003</v>
      </c>
      <c r="E513" s="67">
        <f>9.1375 * CHOOSE(CONTROL!$C$23, $C$13, 100%, $E$13)</f>
        <v>9.1374999999999993</v>
      </c>
      <c r="F513" s="67">
        <f>9.1375 * CHOOSE(CONTROL!$C$23, $C$13, 100%, $E$13)</f>
        <v>9.1374999999999993</v>
      </c>
      <c r="G513" s="67">
        <f>9.1442 * CHOOSE(CONTROL!$C$23, $C$13, 100%, $E$13)</f>
        <v>9.1441999999999997</v>
      </c>
      <c r="H513" s="67">
        <f>16.5637* CHOOSE(CONTROL!$C$23, $C$13, 100%, $E$13)</f>
        <v>16.563700000000001</v>
      </c>
      <c r="I513" s="67">
        <f>16.5704 * CHOOSE(CONTROL!$C$23, $C$13, 100%, $E$13)</f>
        <v>16.570399999999999</v>
      </c>
      <c r="J513" s="67">
        <f>9.1375 * CHOOSE(CONTROL!$C$23, $C$13, 100%, $E$13)</f>
        <v>9.1374999999999993</v>
      </c>
      <c r="K513" s="67">
        <f>9.1442 * CHOOSE(CONTROL!$C$23, $C$13, 100%, $E$13)</f>
        <v>9.1441999999999997</v>
      </c>
    </row>
    <row r="514" spans="1:11" ht="15">
      <c r="A514" s="13">
        <v>56766</v>
      </c>
      <c r="B514" s="66">
        <f>7.6068 * CHOOSE(CONTROL!$C$23, $C$13, 100%, $E$13)</f>
        <v>7.6067999999999998</v>
      </c>
      <c r="C514" s="66">
        <f>7.6068 * CHOOSE(CONTROL!$C$23, $C$13, 100%, $E$13)</f>
        <v>7.6067999999999998</v>
      </c>
      <c r="D514" s="66">
        <f>7.6123 * CHOOSE(CONTROL!$C$23, $C$13, 100%, $E$13)</f>
        <v>7.6123000000000003</v>
      </c>
      <c r="E514" s="67">
        <f>9.0944 * CHOOSE(CONTROL!$C$23, $C$13, 100%, $E$13)</f>
        <v>9.0944000000000003</v>
      </c>
      <c r="F514" s="67">
        <f>9.0944 * CHOOSE(CONTROL!$C$23, $C$13, 100%, $E$13)</f>
        <v>9.0944000000000003</v>
      </c>
      <c r="G514" s="67">
        <f>9.1011 * CHOOSE(CONTROL!$C$23, $C$13, 100%, $E$13)</f>
        <v>9.1011000000000006</v>
      </c>
      <c r="H514" s="67">
        <f>16.5982* CHOOSE(CONTROL!$C$23, $C$13, 100%, $E$13)</f>
        <v>16.598199999999999</v>
      </c>
      <c r="I514" s="67">
        <f>16.6049 * CHOOSE(CONTROL!$C$23, $C$13, 100%, $E$13)</f>
        <v>16.604900000000001</v>
      </c>
      <c r="J514" s="67">
        <f>9.0944 * CHOOSE(CONTROL!$C$23, $C$13, 100%, $E$13)</f>
        <v>9.0944000000000003</v>
      </c>
      <c r="K514" s="67">
        <f>9.1011 * CHOOSE(CONTROL!$C$23, $C$13, 100%, $E$13)</f>
        <v>9.1011000000000006</v>
      </c>
    </row>
    <row r="515" spans="1:11" ht="15">
      <c r="A515" s="13">
        <v>56796</v>
      </c>
      <c r="B515" s="66">
        <f>7.7266 * CHOOSE(CONTROL!$C$23, $C$13, 100%, $E$13)</f>
        <v>7.7266000000000004</v>
      </c>
      <c r="C515" s="66">
        <f>7.7266 * CHOOSE(CONTROL!$C$23, $C$13, 100%, $E$13)</f>
        <v>7.7266000000000004</v>
      </c>
      <c r="D515" s="66">
        <f>7.7321 * CHOOSE(CONTROL!$C$23, $C$13, 100%, $E$13)</f>
        <v>7.7321</v>
      </c>
      <c r="E515" s="67">
        <f>9.2441 * CHOOSE(CONTROL!$C$23, $C$13, 100%, $E$13)</f>
        <v>9.2440999999999995</v>
      </c>
      <c r="F515" s="67">
        <f>9.2441 * CHOOSE(CONTROL!$C$23, $C$13, 100%, $E$13)</f>
        <v>9.2440999999999995</v>
      </c>
      <c r="G515" s="67">
        <f>9.2509 * CHOOSE(CONTROL!$C$23, $C$13, 100%, $E$13)</f>
        <v>9.2508999999999997</v>
      </c>
      <c r="H515" s="67">
        <f>16.6327* CHOOSE(CONTROL!$C$23, $C$13, 100%, $E$13)</f>
        <v>16.6327</v>
      </c>
      <c r="I515" s="67">
        <f>16.6395 * CHOOSE(CONTROL!$C$23, $C$13, 100%, $E$13)</f>
        <v>16.639500000000002</v>
      </c>
      <c r="J515" s="67">
        <f>9.2441 * CHOOSE(CONTROL!$C$23, $C$13, 100%, $E$13)</f>
        <v>9.2440999999999995</v>
      </c>
      <c r="K515" s="67">
        <f>9.2509 * CHOOSE(CONTROL!$C$23, $C$13, 100%, $E$13)</f>
        <v>9.2508999999999997</v>
      </c>
    </row>
    <row r="516" spans="1:11" ht="15">
      <c r="A516" s="13">
        <v>56827</v>
      </c>
      <c r="B516" s="66">
        <f>7.7333 * CHOOSE(CONTROL!$C$23, $C$13, 100%, $E$13)</f>
        <v>7.7332999999999998</v>
      </c>
      <c r="C516" s="66">
        <f>7.7333 * CHOOSE(CONTROL!$C$23, $C$13, 100%, $E$13)</f>
        <v>7.7332999999999998</v>
      </c>
      <c r="D516" s="66">
        <f>7.7388 * CHOOSE(CONTROL!$C$23, $C$13, 100%, $E$13)</f>
        <v>7.7388000000000003</v>
      </c>
      <c r="E516" s="67">
        <f>9.1068 * CHOOSE(CONTROL!$C$23, $C$13, 100%, $E$13)</f>
        <v>9.1067999999999998</v>
      </c>
      <c r="F516" s="67">
        <f>9.1068 * CHOOSE(CONTROL!$C$23, $C$13, 100%, $E$13)</f>
        <v>9.1067999999999998</v>
      </c>
      <c r="G516" s="67">
        <f>9.1136 * CHOOSE(CONTROL!$C$23, $C$13, 100%, $E$13)</f>
        <v>9.1135999999999999</v>
      </c>
      <c r="H516" s="67">
        <f>16.6674* CHOOSE(CONTROL!$C$23, $C$13, 100%, $E$13)</f>
        <v>16.667400000000001</v>
      </c>
      <c r="I516" s="67">
        <f>16.6741 * CHOOSE(CONTROL!$C$23, $C$13, 100%, $E$13)</f>
        <v>16.674099999999999</v>
      </c>
      <c r="J516" s="67">
        <f>9.1068 * CHOOSE(CONTROL!$C$23, $C$13, 100%, $E$13)</f>
        <v>9.1067999999999998</v>
      </c>
      <c r="K516" s="67">
        <f>9.1136 * CHOOSE(CONTROL!$C$23, $C$13, 100%, $E$13)</f>
        <v>9.1135999999999999</v>
      </c>
    </row>
    <row r="517" spans="1:11" ht="15">
      <c r="A517" s="13">
        <v>56858</v>
      </c>
      <c r="B517" s="66">
        <f>7.7303 * CHOOSE(CONTROL!$C$23, $C$13, 100%, $E$13)</f>
        <v>7.7302999999999997</v>
      </c>
      <c r="C517" s="66">
        <f>7.7303 * CHOOSE(CONTROL!$C$23, $C$13, 100%, $E$13)</f>
        <v>7.7302999999999997</v>
      </c>
      <c r="D517" s="66">
        <f>7.7358 * CHOOSE(CONTROL!$C$23, $C$13, 100%, $E$13)</f>
        <v>7.7358000000000002</v>
      </c>
      <c r="E517" s="67">
        <f>9.089 * CHOOSE(CONTROL!$C$23, $C$13, 100%, $E$13)</f>
        <v>9.0890000000000004</v>
      </c>
      <c r="F517" s="67">
        <f>9.089 * CHOOSE(CONTROL!$C$23, $C$13, 100%, $E$13)</f>
        <v>9.0890000000000004</v>
      </c>
      <c r="G517" s="67">
        <f>9.0957 * CHOOSE(CONTROL!$C$23, $C$13, 100%, $E$13)</f>
        <v>9.0957000000000008</v>
      </c>
      <c r="H517" s="67">
        <f>16.7021* CHOOSE(CONTROL!$C$23, $C$13, 100%, $E$13)</f>
        <v>16.702100000000002</v>
      </c>
      <c r="I517" s="67">
        <f>16.7089 * CHOOSE(CONTROL!$C$23, $C$13, 100%, $E$13)</f>
        <v>16.7089</v>
      </c>
      <c r="J517" s="67">
        <f>9.089 * CHOOSE(CONTROL!$C$23, $C$13, 100%, $E$13)</f>
        <v>9.0890000000000004</v>
      </c>
      <c r="K517" s="67">
        <f>9.0957 * CHOOSE(CONTROL!$C$23, $C$13, 100%, $E$13)</f>
        <v>9.0957000000000008</v>
      </c>
    </row>
    <row r="518" spans="1:11" ht="15">
      <c r="A518" s="13">
        <v>56888</v>
      </c>
      <c r="B518" s="66">
        <f>7.7376 * CHOOSE(CONTROL!$C$23, $C$13, 100%, $E$13)</f>
        <v>7.7375999999999996</v>
      </c>
      <c r="C518" s="66">
        <f>7.7376 * CHOOSE(CONTROL!$C$23, $C$13, 100%, $E$13)</f>
        <v>7.7375999999999996</v>
      </c>
      <c r="D518" s="66">
        <f>7.7414 * CHOOSE(CONTROL!$C$23, $C$13, 100%, $E$13)</f>
        <v>7.7413999999999996</v>
      </c>
      <c r="E518" s="67">
        <f>9.1386 * CHOOSE(CONTROL!$C$23, $C$13, 100%, $E$13)</f>
        <v>9.1386000000000003</v>
      </c>
      <c r="F518" s="67">
        <f>9.1386 * CHOOSE(CONTROL!$C$23, $C$13, 100%, $E$13)</f>
        <v>9.1386000000000003</v>
      </c>
      <c r="G518" s="67">
        <f>9.1434 * CHOOSE(CONTROL!$C$23, $C$13, 100%, $E$13)</f>
        <v>9.1433999999999997</v>
      </c>
      <c r="H518" s="67">
        <f>16.7369* CHOOSE(CONTROL!$C$23, $C$13, 100%, $E$13)</f>
        <v>16.736899999999999</v>
      </c>
      <c r="I518" s="67">
        <f>16.7417 * CHOOSE(CONTROL!$C$23, $C$13, 100%, $E$13)</f>
        <v>16.741700000000002</v>
      </c>
      <c r="J518" s="67">
        <f>9.1386 * CHOOSE(CONTROL!$C$23, $C$13, 100%, $E$13)</f>
        <v>9.1386000000000003</v>
      </c>
      <c r="K518" s="67">
        <f>9.1434 * CHOOSE(CONTROL!$C$23, $C$13, 100%, $E$13)</f>
        <v>9.1433999999999997</v>
      </c>
    </row>
    <row r="519" spans="1:11" ht="15">
      <c r="A519" s="13">
        <v>56919</v>
      </c>
      <c r="B519" s="66">
        <f>7.7406 * CHOOSE(CONTROL!$C$23, $C$13, 100%, $E$13)</f>
        <v>7.7405999999999997</v>
      </c>
      <c r="C519" s="66">
        <f>7.7406 * CHOOSE(CONTROL!$C$23, $C$13, 100%, $E$13)</f>
        <v>7.7405999999999997</v>
      </c>
      <c r="D519" s="66">
        <f>7.7445 * CHOOSE(CONTROL!$C$23, $C$13, 100%, $E$13)</f>
        <v>7.7445000000000004</v>
      </c>
      <c r="E519" s="67">
        <f>9.1723 * CHOOSE(CONTROL!$C$23, $C$13, 100%, $E$13)</f>
        <v>9.1722999999999999</v>
      </c>
      <c r="F519" s="67">
        <f>9.1723 * CHOOSE(CONTROL!$C$23, $C$13, 100%, $E$13)</f>
        <v>9.1722999999999999</v>
      </c>
      <c r="G519" s="67">
        <f>9.1771 * CHOOSE(CONTROL!$C$23, $C$13, 100%, $E$13)</f>
        <v>9.1770999999999994</v>
      </c>
      <c r="H519" s="67">
        <f>16.7718* CHOOSE(CONTROL!$C$23, $C$13, 100%, $E$13)</f>
        <v>16.771799999999999</v>
      </c>
      <c r="I519" s="67">
        <f>16.7766 * CHOOSE(CONTROL!$C$23, $C$13, 100%, $E$13)</f>
        <v>16.776599999999998</v>
      </c>
      <c r="J519" s="67">
        <f>9.1723 * CHOOSE(CONTROL!$C$23, $C$13, 100%, $E$13)</f>
        <v>9.1722999999999999</v>
      </c>
      <c r="K519" s="67">
        <f>9.1771 * CHOOSE(CONTROL!$C$23, $C$13, 100%, $E$13)</f>
        <v>9.1770999999999994</v>
      </c>
    </row>
    <row r="520" spans="1:11" ht="15">
      <c r="A520" s="13">
        <v>56949</v>
      </c>
      <c r="B520" s="66">
        <f>7.7406 * CHOOSE(CONTROL!$C$23, $C$13, 100%, $E$13)</f>
        <v>7.7405999999999997</v>
      </c>
      <c r="C520" s="66">
        <f>7.7406 * CHOOSE(CONTROL!$C$23, $C$13, 100%, $E$13)</f>
        <v>7.7405999999999997</v>
      </c>
      <c r="D520" s="66">
        <f>7.7445 * CHOOSE(CONTROL!$C$23, $C$13, 100%, $E$13)</f>
        <v>7.7445000000000004</v>
      </c>
      <c r="E520" s="67">
        <f>9.0934 * CHOOSE(CONTROL!$C$23, $C$13, 100%, $E$13)</f>
        <v>9.0934000000000008</v>
      </c>
      <c r="F520" s="67">
        <f>9.0934 * CHOOSE(CONTROL!$C$23, $C$13, 100%, $E$13)</f>
        <v>9.0934000000000008</v>
      </c>
      <c r="G520" s="67">
        <f>9.0982 * CHOOSE(CONTROL!$C$23, $C$13, 100%, $E$13)</f>
        <v>9.0982000000000003</v>
      </c>
      <c r="H520" s="67">
        <f>16.8067* CHOOSE(CONTROL!$C$23, $C$13, 100%, $E$13)</f>
        <v>16.806699999999999</v>
      </c>
      <c r="I520" s="67">
        <f>16.8115 * CHOOSE(CONTROL!$C$23, $C$13, 100%, $E$13)</f>
        <v>16.811499999999999</v>
      </c>
      <c r="J520" s="67">
        <f>9.0934 * CHOOSE(CONTROL!$C$23, $C$13, 100%, $E$13)</f>
        <v>9.0934000000000008</v>
      </c>
      <c r="K520" s="67">
        <f>9.0982 * CHOOSE(CONTROL!$C$23, $C$13, 100%, $E$13)</f>
        <v>9.0982000000000003</v>
      </c>
    </row>
    <row r="521" spans="1:11" ht="15">
      <c r="A521" s="13">
        <v>56980</v>
      </c>
      <c r="B521" s="66">
        <f>7.8071 * CHOOSE(CONTROL!$C$23, $C$13, 100%, $E$13)</f>
        <v>7.8071000000000002</v>
      </c>
      <c r="C521" s="66">
        <f>7.8071 * CHOOSE(CONTROL!$C$23, $C$13, 100%, $E$13)</f>
        <v>7.8071000000000002</v>
      </c>
      <c r="D521" s="66">
        <f>7.811 * CHOOSE(CONTROL!$C$23, $C$13, 100%, $E$13)</f>
        <v>7.8109999999999999</v>
      </c>
      <c r="E521" s="67">
        <f>9.2242 * CHOOSE(CONTROL!$C$23, $C$13, 100%, $E$13)</f>
        <v>9.2241999999999997</v>
      </c>
      <c r="F521" s="67">
        <f>9.2242 * CHOOSE(CONTROL!$C$23, $C$13, 100%, $E$13)</f>
        <v>9.2241999999999997</v>
      </c>
      <c r="G521" s="67">
        <f>9.229 * CHOOSE(CONTROL!$C$23, $C$13, 100%, $E$13)</f>
        <v>9.2289999999999992</v>
      </c>
      <c r="H521" s="67">
        <f>16.8417* CHOOSE(CONTROL!$C$23, $C$13, 100%, $E$13)</f>
        <v>16.841699999999999</v>
      </c>
      <c r="I521" s="67">
        <f>16.8465 * CHOOSE(CONTROL!$C$23, $C$13, 100%, $E$13)</f>
        <v>16.846499999999999</v>
      </c>
      <c r="J521" s="67">
        <f>9.2242 * CHOOSE(CONTROL!$C$23, $C$13, 100%, $E$13)</f>
        <v>9.2241999999999997</v>
      </c>
      <c r="K521" s="67">
        <f>9.229 * CHOOSE(CONTROL!$C$23, $C$13, 100%, $E$13)</f>
        <v>9.2289999999999992</v>
      </c>
    </row>
    <row r="522" spans="1:11" ht="15">
      <c r="A522" s="13">
        <v>57011</v>
      </c>
      <c r="B522" s="66">
        <f>7.8041 * CHOOSE(CONTROL!$C$23, $C$13, 100%, $E$13)</f>
        <v>7.8041</v>
      </c>
      <c r="C522" s="66">
        <f>7.8041 * CHOOSE(CONTROL!$C$23, $C$13, 100%, $E$13)</f>
        <v>7.8041</v>
      </c>
      <c r="D522" s="66">
        <f>7.808 * CHOOSE(CONTROL!$C$23, $C$13, 100%, $E$13)</f>
        <v>7.8079999999999998</v>
      </c>
      <c r="E522" s="67">
        <f>9.0688 * CHOOSE(CONTROL!$C$23, $C$13, 100%, $E$13)</f>
        <v>9.0687999999999995</v>
      </c>
      <c r="F522" s="67">
        <f>9.0688 * CHOOSE(CONTROL!$C$23, $C$13, 100%, $E$13)</f>
        <v>9.0687999999999995</v>
      </c>
      <c r="G522" s="67">
        <f>9.0736 * CHOOSE(CONTROL!$C$23, $C$13, 100%, $E$13)</f>
        <v>9.0736000000000008</v>
      </c>
      <c r="H522" s="67">
        <f>16.8768* CHOOSE(CONTROL!$C$23, $C$13, 100%, $E$13)</f>
        <v>16.876799999999999</v>
      </c>
      <c r="I522" s="67">
        <f>16.8816 * CHOOSE(CONTROL!$C$23, $C$13, 100%, $E$13)</f>
        <v>16.881599999999999</v>
      </c>
      <c r="J522" s="67">
        <f>9.0688 * CHOOSE(CONTROL!$C$23, $C$13, 100%, $E$13)</f>
        <v>9.0687999999999995</v>
      </c>
      <c r="K522" s="67">
        <f>9.0736 * CHOOSE(CONTROL!$C$23, $C$13, 100%, $E$13)</f>
        <v>9.0736000000000008</v>
      </c>
    </row>
    <row r="523" spans="1:11" ht="15">
      <c r="A523" s="13">
        <v>57040</v>
      </c>
      <c r="B523" s="66">
        <f>7.8011 * CHOOSE(CONTROL!$C$23, $C$13, 100%, $E$13)</f>
        <v>7.8010999999999999</v>
      </c>
      <c r="C523" s="66">
        <f>7.8011 * CHOOSE(CONTROL!$C$23, $C$13, 100%, $E$13)</f>
        <v>7.8010999999999999</v>
      </c>
      <c r="D523" s="66">
        <f>7.8049 * CHOOSE(CONTROL!$C$23, $C$13, 100%, $E$13)</f>
        <v>7.8048999999999999</v>
      </c>
      <c r="E523" s="67">
        <f>9.1875 * CHOOSE(CONTROL!$C$23, $C$13, 100%, $E$13)</f>
        <v>9.1875</v>
      </c>
      <c r="F523" s="67">
        <f>9.1875 * CHOOSE(CONTROL!$C$23, $C$13, 100%, $E$13)</f>
        <v>9.1875</v>
      </c>
      <c r="G523" s="67">
        <f>9.1923 * CHOOSE(CONTROL!$C$23, $C$13, 100%, $E$13)</f>
        <v>9.1922999999999995</v>
      </c>
      <c r="H523" s="67">
        <f>16.912* CHOOSE(CONTROL!$C$23, $C$13, 100%, $E$13)</f>
        <v>16.911999999999999</v>
      </c>
      <c r="I523" s="67">
        <f>16.9168 * CHOOSE(CONTROL!$C$23, $C$13, 100%, $E$13)</f>
        <v>16.916799999999999</v>
      </c>
      <c r="J523" s="67">
        <f>9.1875 * CHOOSE(CONTROL!$C$23, $C$13, 100%, $E$13)</f>
        <v>9.1875</v>
      </c>
      <c r="K523" s="67">
        <f>9.1923 * CHOOSE(CONTROL!$C$23, $C$13, 100%, $E$13)</f>
        <v>9.1922999999999995</v>
      </c>
    </row>
    <row r="524" spans="1:11" ht="15">
      <c r="A524" s="13">
        <v>57071</v>
      </c>
      <c r="B524" s="66">
        <f>7.802 * CHOOSE(CONTROL!$C$23, $C$13, 100%, $E$13)</f>
        <v>7.8019999999999996</v>
      </c>
      <c r="C524" s="66">
        <f>7.802 * CHOOSE(CONTROL!$C$23, $C$13, 100%, $E$13)</f>
        <v>7.8019999999999996</v>
      </c>
      <c r="D524" s="66">
        <f>7.8058 * CHOOSE(CONTROL!$C$23, $C$13, 100%, $E$13)</f>
        <v>7.8057999999999996</v>
      </c>
      <c r="E524" s="67">
        <f>9.313 * CHOOSE(CONTROL!$C$23, $C$13, 100%, $E$13)</f>
        <v>9.3130000000000006</v>
      </c>
      <c r="F524" s="67">
        <f>9.313 * CHOOSE(CONTROL!$C$23, $C$13, 100%, $E$13)</f>
        <v>9.3130000000000006</v>
      </c>
      <c r="G524" s="67">
        <f>9.3178 * CHOOSE(CONTROL!$C$23, $C$13, 100%, $E$13)</f>
        <v>9.3178000000000001</v>
      </c>
      <c r="H524" s="67">
        <f>16.9472* CHOOSE(CONTROL!$C$23, $C$13, 100%, $E$13)</f>
        <v>16.947199999999999</v>
      </c>
      <c r="I524" s="67">
        <f>16.952 * CHOOSE(CONTROL!$C$23, $C$13, 100%, $E$13)</f>
        <v>16.952000000000002</v>
      </c>
      <c r="J524" s="67">
        <f>9.313 * CHOOSE(CONTROL!$C$23, $C$13, 100%, $E$13)</f>
        <v>9.3130000000000006</v>
      </c>
      <c r="K524" s="67">
        <f>9.3178 * CHOOSE(CONTROL!$C$23, $C$13, 100%, $E$13)</f>
        <v>9.3178000000000001</v>
      </c>
    </row>
    <row r="525" spans="1:11" ht="15">
      <c r="A525" s="13">
        <v>57101</v>
      </c>
      <c r="B525" s="66">
        <f>7.802 * CHOOSE(CONTROL!$C$23, $C$13, 100%, $E$13)</f>
        <v>7.8019999999999996</v>
      </c>
      <c r="C525" s="66">
        <f>7.802 * CHOOSE(CONTROL!$C$23, $C$13, 100%, $E$13)</f>
        <v>7.8019999999999996</v>
      </c>
      <c r="D525" s="66">
        <f>7.8075 * CHOOSE(CONTROL!$C$23, $C$13, 100%, $E$13)</f>
        <v>7.8075000000000001</v>
      </c>
      <c r="E525" s="67">
        <f>9.3616 * CHOOSE(CONTROL!$C$23, $C$13, 100%, $E$13)</f>
        <v>9.3615999999999993</v>
      </c>
      <c r="F525" s="67">
        <f>9.3616 * CHOOSE(CONTROL!$C$23, $C$13, 100%, $E$13)</f>
        <v>9.3615999999999993</v>
      </c>
      <c r="G525" s="67">
        <f>9.3684 * CHOOSE(CONTROL!$C$23, $C$13, 100%, $E$13)</f>
        <v>9.3683999999999994</v>
      </c>
      <c r="H525" s="67">
        <f>16.9825* CHOOSE(CONTROL!$C$23, $C$13, 100%, $E$13)</f>
        <v>16.982500000000002</v>
      </c>
      <c r="I525" s="67">
        <f>16.9893 * CHOOSE(CONTROL!$C$23, $C$13, 100%, $E$13)</f>
        <v>16.9893</v>
      </c>
      <c r="J525" s="67">
        <f>9.3616 * CHOOSE(CONTROL!$C$23, $C$13, 100%, $E$13)</f>
        <v>9.3615999999999993</v>
      </c>
      <c r="K525" s="67">
        <f>9.3684 * CHOOSE(CONTROL!$C$23, $C$13, 100%, $E$13)</f>
        <v>9.3683999999999994</v>
      </c>
    </row>
    <row r="526" spans="1:11" ht="15">
      <c r="A526" s="13">
        <v>57132</v>
      </c>
      <c r="B526" s="66">
        <f>7.808 * CHOOSE(CONTROL!$C$23, $C$13, 100%, $E$13)</f>
        <v>7.8079999999999998</v>
      </c>
      <c r="C526" s="66">
        <f>7.808 * CHOOSE(CONTROL!$C$23, $C$13, 100%, $E$13)</f>
        <v>7.8079999999999998</v>
      </c>
      <c r="D526" s="66">
        <f>7.8135 * CHOOSE(CONTROL!$C$23, $C$13, 100%, $E$13)</f>
        <v>7.8135000000000003</v>
      </c>
      <c r="E526" s="67">
        <f>9.3172 * CHOOSE(CONTROL!$C$23, $C$13, 100%, $E$13)</f>
        <v>9.3171999999999997</v>
      </c>
      <c r="F526" s="67">
        <f>9.3172 * CHOOSE(CONTROL!$C$23, $C$13, 100%, $E$13)</f>
        <v>9.3171999999999997</v>
      </c>
      <c r="G526" s="67">
        <f>9.324 * CHOOSE(CONTROL!$C$23, $C$13, 100%, $E$13)</f>
        <v>9.3239999999999998</v>
      </c>
      <c r="H526" s="67">
        <f>17.0179* CHOOSE(CONTROL!$C$23, $C$13, 100%, $E$13)</f>
        <v>17.017900000000001</v>
      </c>
      <c r="I526" s="67">
        <f>17.0246 * CHOOSE(CONTROL!$C$23, $C$13, 100%, $E$13)</f>
        <v>17.0246</v>
      </c>
      <c r="J526" s="67">
        <f>9.3172 * CHOOSE(CONTROL!$C$23, $C$13, 100%, $E$13)</f>
        <v>9.3171999999999997</v>
      </c>
      <c r="K526" s="67">
        <f>9.324 * CHOOSE(CONTROL!$C$23, $C$13, 100%, $E$13)</f>
        <v>9.3239999999999998</v>
      </c>
    </row>
    <row r="527" spans="1:11" ht="15">
      <c r="A527" s="13">
        <v>57162</v>
      </c>
      <c r="B527" s="66">
        <f>7.9308 * CHOOSE(CONTROL!$C$23, $C$13, 100%, $E$13)</f>
        <v>7.9307999999999996</v>
      </c>
      <c r="C527" s="66">
        <f>7.9308 * CHOOSE(CONTROL!$C$23, $C$13, 100%, $E$13)</f>
        <v>7.9307999999999996</v>
      </c>
      <c r="D527" s="66">
        <f>7.9363 * CHOOSE(CONTROL!$C$23, $C$13, 100%, $E$13)</f>
        <v>7.9363000000000001</v>
      </c>
      <c r="E527" s="67">
        <f>9.4704 * CHOOSE(CONTROL!$C$23, $C$13, 100%, $E$13)</f>
        <v>9.4703999999999997</v>
      </c>
      <c r="F527" s="67">
        <f>9.4704 * CHOOSE(CONTROL!$C$23, $C$13, 100%, $E$13)</f>
        <v>9.4703999999999997</v>
      </c>
      <c r="G527" s="67">
        <f>9.4771 * CHOOSE(CONTROL!$C$23, $C$13, 100%, $E$13)</f>
        <v>9.4771000000000001</v>
      </c>
      <c r="H527" s="67">
        <f>17.0534* CHOOSE(CONTROL!$C$23, $C$13, 100%, $E$13)</f>
        <v>17.0534</v>
      </c>
      <c r="I527" s="67">
        <f>17.0601 * CHOOSE(CONTROL!$C$23, $C$13, 100%, $E$13)</f>
        <v>17.060099999999998</v>
      </c>
      <c r="J527" s="67">
        <f>9.4704 * CHOOSE(CONTROL!$C$23, $C$13, 100%, $E$13)</f>
        <v>9.4703999999999997</v>
      </c>
      <c r="K527" s="67">
        <f>9.4771 * CHOOSE(CONTROL!$C$23, $C$13, 100%, $E$13)</f>
        <v>9.4771000000000001</v>
      </c>
    </row>
    <row r="528" spans="1:11" ht="15">
      <c r="A528" s="13">
        <v>57193</v>
      </c>
      <c r="B528" s="66">
        <f>7.9375 * CHOOSE(CONTROL!$C$23, $C$13, 100%, $E$13)</f>
        <v>7.9375</v>
      </c>
      <c r="C528" s="66">
        <f>7.9375 * CHOOSE(CONTROL!$C$23, $C$13, 100%, $E$13)</f>
        <v>7.9375</v>
      </c>
      <c r="D528" s="66">
        <f>7.943 * CHOOSE(CONTROL!$C$23, $C$13, 100%, $E$13)</f>
        <v>7.9429999999999996</v>
      </c>
      <c r="E528" s="67">
        <f>9.3291 * CHOOSE(CONTROL!$C$23, $C$13, 100%, $E$13)</f>
        <v>9.3291000000000004</v>
      </c>
      <c r="F528" s="67">
        <f>9.3291 * CHOOSE(CONTROL!$C$23, $C$13, 100%, $E$13)</f>
        <v>9.3291000000000004</v>
      </c>
      <c r="G528" s="67">
        <f>9.3358 * CHOOSE(CONTROL!$C$23, $C$13, 100%, $E$13)</f>
        <v>9.3358000000000008</v>
      </c>
      <c r="H528" s="67">
        <f>17.0889* CHOOSE(CONTROL!$C$23, $C$13, 100%, $E$13)</f>
        <v>17.088899999999999</v>
      </c>
      <c r="I528" s="67">
        <f>17.0956 * CHOOSE(CONTROL!$C$23, $C$13, 100%, $E$13)</f>
        <v>17.095600000000001</v>
      </c>
      <c r="J528" s="67">
        <f>9.3291 * CHOOSE(CONTROL!$C$23, $C$13, 100%, $E$13)</f>
        <v>9.3291000000000004</v>
      </c>
      <c r="K528" s="67">
        <f>9.3358 * CHOOSE(CONTROL!$C$23, $C$13, 100%, $E$13)</f>
        <v>9.3358000000000008</v>
      </c>
    </row>
    <row r="529" spans="1:11" ht="15">
      <c r="A529" s="13">
        <v>57224</v>
      </c>
      <c r="B529" s="66">
        <f>7.9344 * CHOOSE(CONTROL!$C$23, $C$13, 100%, $E$13)</f>
        <v>7.9344000000000001</v>
      </c>
      <c r="C529" s="66">
        <f>7.9344 * CHOOSE(CONTROL!$C$23, $C$13, 100%, $E$13)</f>
        <v>7.9344000000000001</v>
      </c>
      <c r="D529" s="66">
        <f>7.9399 * CHOOSE(CONTROL!$C$23, $C$13, 100%, $E$13)</f>
        <v>7.9398999999999997</v>
      </c>
      <c r="E529" s="67">
        <f>9.3108 * CHOOSE(CONTROL!$C$23, $C$13, 100%, $E$13)</f>
        <v>9.3108000000000004</v>
      </c>
      <c r="F529" s="67">
        <f>9.3108 * CHOOSE(CONTROL!$C$23, $C$13, 100%, $E$13)</f>
        <v>9.3108000000000004</v>
      </c>
      <c r="G529" s="67">
        <f>9.3175 * CHOOSE(CONTROL!$C$23, $C$13, 100%, $E$13)</f>
        <v>9.3175000000000008</v>
      </c>
      <c r="H529" s="67">
        <f>17.1245* CHOOSE(CONTROL!$C$23, $C$13, 100%, $E$13)</f>
        <v>17.124500000000001</v>
      </c>
      <c r="I529" s="67">
        <f>17.1312 * CHOOSE(CONTROL!$C$23, $C$13, 100%, $E$13)</f>
        <v>17.1312</v>
      </c>
      <c r="J529" s="67">
        <f>9.3108 * CHOOSE(CONTROL!$C$23, $C$13, 100%, $E$13)</f>
        <v>9.3108000000000004</v>
      </c>
      <c r="K529" s="67">
        <f>9.3175 * CHOOSE(CONTROL!$C$23, $C$13, 100%, $E$13)</f>
        <v>9.3175000000000008</v>
      </c>
    </row>
    <row r="530" spans="1:11" ht="15">
      <c r="A530" s="13">
        <v>57254</v>
      </c>
      <c r="B530" s="66">
        <f>7.9424 * CHOOSE(CONTROL!$C$23, $C$13, 100%, $E$13)</f>
        <v>7.9424000000000001</v>
      </c>
      <c r="C530" s="66">
        <f>7.9424 * CHOOSE(CONTROL!$C$23, $C$13, 100%, $E$13)</f>
        <v>7.9424000000000001</v>
      </c>
      <c r="D530" s="66">
        <f>7.9463 * CHOOSE(CONTROL!$C$23, $C$13, 100%, $E$13)</f>
        <v>7.9462999999999999</v>
      </c>
      <c r="E530" s="67">
        <f>9.3622 * CHOOSE(CONTROL!$C$23, $C$13, 100%, $E$13)</f>
        <v>9.3621999999999996</v>
      </c>
      <c r="F530" s="67">
        <f>9.3622 * CHOOSE(CONTROL!$C$23, $C$13, 100%, $E$13)</f>
        <v>9.3621999999999996</v>
      </c>
      <c r="G530" s="67">
        <f>9.367 * CHOOSE(CONTROL!$C$23, $C$13, 100%, $E$13)</f>
        <v>9.3670000000000009</v>
      </c>
      <c r="H530" s="67">
        <f>17.1602* CHOOSE(CONTROL!$C$23, $C$13, 100%, $E$13)</f>
        <v>17.1602</v>
      </c>
      <c r="I530" s="67">
        <f>17.1649 * CHOOSE(CONTROL!$C$23, $C$13, 100%, $E$13)</f>
        <v>17.164899999999999</v>
      </c>
      <c r="J530" s="67">
        <f>9.3622 * CHOOSE(CONTROL!$C$23, $C$13, 100%, $E$13)</f>
        <v>9.3621999999999996</v>
      </c>
      <c r="K530" s="67">
        <f>9.367 * CHOOSE(CONTROL!$C$23, $C$13, 100%, $E$13)</f>
        <v>9.3670000000000009</v>
      </c>
    </row>
    <row r="531" spans="1:11" ht="15">
      <c r="A531" s="13">
        <v>57285</v>
      </c>
      <c r="B531" s="66">
        <f>7.9454 * CHOOSE(CONTROL!$C$23, $C$13, 100%, $E$13)</f>
        <v>7.9454000000000002</v>
      </c>
      <c r="C531" s="66">
        <f>7.9454 * CHOOSE(CONTROL!$C$23, $C$13, 100%, $E$13)</f>
        <v>7.9454000000000002</v>
      </c>
      <c r="D531" s="66">
        <f>7.9493 * CHOOSE(CONTROL!$C$23, $C$13, 100%, $E$13)</f>
        <v>7.9493</v>
      </c>
      <c r="E531" s="67">
        <f>9.3968 * CHOOSE(CONTROL!$C$23, $C$13, 100%, $E$13)</f>
        <v>9.3968000000000007</v>
      </c>
      <c r="F531" s="67">
        <f>9.3968 * CHOOSE(CONTROL!$C$23, $C$13, 100%, $E$13)</f>
        <v>9.3968000000000007</v>
      </c>
      <c r="G531" s="67">
        <f>9.4015 * CHOOSE(CONTROL!$C$23, $C$13, 100%, $E$13)</f>
        <v>9.4015000000000004</v>
      </c>
      <c r="H531" s="67">
        <f>17.1959* CHOOSE(CONTROL!$C$23, $C$13, 100%, $E$13)</f>
        <v>17.195900000000002</v>
      </c>
      <c r="I531" s="67">
        <f>17.2007 * CHOOSE(CONTROL!$C$23, $C$13, 100%, $E$13)</f>
        <v>17.200700000000001</v>
      </c>
      <c r="J531" s="67">
        <f>9.3968 * CHOOSE(CONTROL!$C$23, $C$13, 100%, $E$13)</f>
        <v>9.3968000000000007</v>
      </c>
      <c r="K531" s="67">
        <f>9.4015 * CHOOSE(CONTROL!$C$23, $C$13, 100%, $E$13)</f>
        <v>9.4015000000000004</v>
      </c>
    </row>
    <row r="532" spans="1:11" ht="15">
      <c r="A532" s="13">
        <v>57315</v>
      </c>
      <c r="B532" s="66">
        <f>7.9454 * CHOOSE(CONTROL!$C$23, $C$13, 100%, $E$13)</f>
        <v>7.9454000000000002</v>
      </c>
      <c r="C532" s="66">
        <f>7.9454 * CHOOSE(CONTROL!$C$23, $C$13, 100%, $E$13)</f>
        <v>7.9454000000000002</v>
      </c>
      <c r="D532" s="66">
        <f>7.9493 * CHOOSE(CONTROL!$C$23, $C$13, 100%, $E$13)</f>
        <v>7.9493</v>
      </c>
      <c r="E532" s="67">
        <f>9.3157 * CHOOSE(CONTROL!$C$23, $C$13, 100%, $E$13)</f>
        <v>9.3156999999999996</v>
      </c>
      <c r="F532" s="67">
        <f>9.3157 * CHOOSE(CONTROL!$C$23, $C$13, 100%, $E$13)</f>
        <v>9.3156999999999996</v>
      </c>
      <c r="G532" s="67">
        <f>9.3205 * CHOOSE(CONTROL!$C$23, $C$13, 100%, $E$13)</f>
        <v>9.3204999999999991</v>
      </c>
      <c r="H532" s="67">
        <f>17.2317* CHOOSE(CONTROL!$C$23, $C$13, 100%, $E$13)</f>
        <v>17.2317</v>
      </c>
      <c r="I532" s="67">
        <f>17.2365 * CHOOSE(CONTROL!$C$23, $C$13, 100%, $E$13)</f>
        <v>17.236499999999999</v>
      </c>
      <c r="J532" s="67">
        <f>9.3157 * CHOOSE(CONTROL!$C$23, $C$13, 100%, $E$13)</f>
        <v>9.3156999999999996</v>
      </c>
      <c r="K532" s="67">
        <f>9.3205 * CHOOSE(CONTROL!$C$23, $C$13, 100%, $E$13)</f>
        <v>9.3204999999999991</v>
      </c>
    </row>
    <row r="533" spans="1:11" ht="15">
      <c r="A533" s="13">
        <v>57346</v>
      </c>
      <c r="B533" s="66">
        <f>8.0136 * CHOOSE(CONTROL!$C$23, $C$13, 100%, $E$13)</f>
        <v>8.0136000000000003</v>
      </c>
      <c r="C533" s="66">
        <f>8.0136 * CHOOSE(CONTROL!$C$23, $C$13, 100%, $E$13)</f>
        <v>8.0136000000000003</v>
      </c>
      <c r="D533" s="66">
        <f>8.0175 * CHOOSE(CONTROL!$C$23, $C$13, 100%, $E$13)</f>
        <v>8.0175000000000001</v>
      </c>
      <c r="E533" s="67">
        <f>9.4498 * CHOOSE(CONTROL!$C$23, $C$13, 100%, $E$13)</f>
        <v>9.4497999999999998</v>
      </c>
      <c r="F533" s="67">
        <f>9.4498 * CHOOSE(CONTROL!$C$23, $C$13, 100%, $E$13)</f>
        <v>9.4497999999999998</v>
      </c>
      <c r="G533" s="67">
        <f>9.4546 * CHOOSE(CONTROL!$C$23, $C$13, 100%, $E$13)</f>
        <v>9.4545999999999992</v>
      </c>
      <c r="H533" s="67">
        <f>17.2676* CHOOSE(CONTROL!$C$23, $C$13, 100%, $E$13)</f>
        <v>17.267600000000002</v>
      </c>
      <c r="I533" s="67">
        <f>17.2724 * CHOOSE(CONTROL!$C$23, $C$13, 100%, $E$13)</f>
        <v>17.272400000000001</v>
      </c>
      <c r="J533" s="67">
        <f>9.4498 * CHOOSE(CONTROL!$C$23, $C$13, 100%, $E$13)</f>
        <v>9.4497999999999998</v>
      </c>
      <c r="K533" s="67">
        <f>9.4546 * CHOOSE(CONTROL!$C$23, $C$13, 100%, $E$13)</f>
        <v>9.4545999999999992</v>
      </c>
    </row>
    <row r="534" spans="1:11" ht="15">
      <c r="A534" s="13">
        <v>57377</v>
      </c>
      <c r="B534" s="66">
        <f>8.0106 * CHOOSE(CONTROL!$C$23, $C$13, 100%, $E$13)</f>
        <v>8.0106000000000002</v>
      </c>
      <c r="C534" s="66">
        <f>8.0106 * CHOOSE(CONTROL!$C$23, $C$13, 100%, $E$13)</f>
        <v>8.0106000000000002</v>
      </c>
      <c r="D534" s="66">
        <f>8.0145 * CHOOSE(CONTROL!$C$23, $C$13, 100%, $E$13)</f>
        <v>8.0145</v>
      </c>
      <c r="E534" s="67">
        <f>9.2901 * CHOOSE(CONTROL!$C$23, $C$13, 100%, $E$13)</f>
        <v>9.2901000000000007</v>
      </c>
      <c r="F534" s="67">
        <f>9.2901 * CHOOSE(CONTROL!$C$23, $C$13, 100%, $E$13)</f>
        <v>9.2901000000000007</v>
      </c>
      <c r="G534" s="67">
        <f>9.2949 * CHOOSE(CONTROL!$C$23, $C$13, 100%, $E$13)</f>
        <v>9.2949000000000002</v>
      </c>
      <c r="H534" s="67">
        <f>17.3036* CHOOSE(CONTROL!$C$23, $C$13, 100%, $E$13)</f>
        <v>17.303599999999999</v>
      </c>
      <c r="I534" s="67">
        <f>17.3084 * CHOOSE(CONTROL!$C$23, $C$13, 100%, $E$13)</f>
        <v>17.308399999999999</v>
      </c>
      <c r="J534" s="67">
        <f>9.2901 * CHOOSE(CONTROL!$C$23, $C$13, 100%, $E$13)</f>
        <v>9.2901000000000007</v>
      </c>
      <c r="K534" s="67">
        <f>9.2949 * CHOOSE(CONTROL!$C$23, $C$13, 100%, $E$13)</f>
        <v>9.2949000000000002</v>
      </c>
    </row>
    <row r="535" spans="1:11" ht="15">
      <c r="A535" s="13">
        <v>57405</v>
      </c>
      <c r="B535" s="66">
        <f>8.0075 * CHOOSE(CONTROL!$C$23, $C$13, 100%, $E$13)</f>
        <v>8.0075000000000003</v>
      </c>
      <c r="C535" s="66">
        <f>8.0075 * CHOOSE(CONTROL!$C$23, $C$13, 100%, $E$13)</f>
        <v>8.0075000000000003</v>
      </c>
      <c r="D535" s="66">
        <f>8.0114 * CHOOSE(CONTROL!$C$23, $C$13, 100%, $E$13)</f>
        <v>8.0114000000000001</v>
      </c>
      <c r="E535" s="67">
        <f>9.4122 * CHOOSE(CONTROL!$C$23, $C$13, 100%, $E$13)</f>
        <v>9.4122000000000003</v>
      </c>
      <c r="F535" s="67">
        <f>9.4122 * CHOOSE(CONTROL!$C$23, $C$13, 100%, $E$13)</f>
        <v>9.4122000000000003</v>
      </c>
      <c r="G535" s="67">
        <f>9.417 * CHOOSE(CONTROL!$C$23, $C$13, 100%, $E$13)</f>
        <v>9.4169999999999998</v>
      </c>
      <c r="H535" s="67">
        <f>17.3397* CHOOSE(CONTROL!$C$23, $C$13, 100%, $E$13)</f>
        <v>17.339700000000001</v>
      </c>
      <c r="I535" s="67">
        <f>17.3444 * CHOOSE(CONTROL!$C$23, $C$13, 100%, $E$13)</f>
        <v>17.3444</v>
      </c>
      <c r="J535" s="67">
        <f>9.4122 * CHOOSE(CONTROL!$C$23, $C$13, 100%, $E$13)</f>
        <v>9.4122000000000003</v>
      </c>
      <c r="K535" s="67">
        <f>9.417 * CHOOSE(CONTROL!$C$23, $C$13, 100%, $E$13)</f>
        <v>9.4169999999999998</v>
      </c>
    </row>
    <row r="536" spans="1:11" ht="15">
      <c r="A536" s="13">
        <v>57436</v>
      </c>
      <c r="B536" s="66">
        <f>8.0086 * CHOOSE(CONTROL!$C$23, $C$13, 100%, $E$13)</f>
        <v>8.0085999999999995</v>
      </c>
      <c r="C536" s="66">
        <f>8.0086 * CHOOSE(CONTROL!$C$23, $C$13, 100%, $E$13)</f>
        <v>8.0085999999999995</v>
      </c>
      <c r="D536" s="66">
        <f>8.0125 * CHOOSE(CONTROL!$C$23, $C$13, 100%, $E$13)</f>
        <v>8.0124999999999993</v>
      </c>
      <c r="E536" s="67">
        <f>9.5413 * CHOOSE(CONTROL!$C$23, $C$13, 100%, $E$13)</f>
        <v>9.5412999999999997</v>
      </c>
      <c r="F536" s="67">
        <f>9.5413 * CHOOSE(CONTROL!$C$23, $C$13, 100%, $E$13)</f>
        <v>9.5412999999999997</v>
      </c>
      <c r="G536" s="67">
        <f>9.5461 * CHOOSE(CONTROL!$C$23, $C$13, 100%, $E$13)</f>
        <v>9.5460999999999991</v>
      </c>
      <c r="H536" s="67">
        <f>17.3758* CHOOSE(CONTROL!$C$23, $C$13, 100%, $E$13)</f>
        <v>17.375800000000002</v>
      </c>
      <c r="I536" s="67">
        <f>17.3806 * CHOOSE(CONTROL!$C$23, $C$13, 100%, $E$13)</f>
        <v>17.380600000000001</v>
      </c>
      <c r="J536" s="67">
        <f>9.5413 * CHOOSE(CONTROL!$C$23, $C$13, 100%, $E$13)</f>
        <v>9.5412999999999997</v>
      </c>
      <c r="K536" s="67">
        <f>9.5461 * CHOOSE(CONTROL!$C$23, $C$13, 100%, $E$13)</f>
        <v>9.5460999999999991</v>
      </c>
    </row>
    <row r="537" spans="1:11" ht="15">
      <c r="A537" s="13">
        <v>57466</v>
      </c>
      <c r="B537" s="66">
        <f>8.0086 * CHOOSE(CONTROL!$C$23, $C$13, 100%, $E$13)</f>
        <v>8.0085999999999995</v>
      </c>
      <c r="C537" s="66">
        <f>8.0086 * CHOOSE(CONTROL!$C$23, $C$13, 100%, $E$13)</f>
        <v>8.0085999999999995</v>
      </c>
      <c r="D537" s="66">
        <f>8.0141 * CHOOSE(CONTROL!$C$23, $C$13, 100%, $E$13)</f>
        <v>8.0140999999999991</v>
      </c>
      <c r="E537" s="67">
        <f>9.5913 * CHOOSE(CONTROL!$C$23, $C$13, 100%, $E$13)</f>
        <v>9.5913000000000004</v>
      </c>
      <c r="F537" s="67">
        <f>9.5913 * CHOOSE(CONTROL!$C$23, $C$13, 100%, $E$13)</f>
        <v>9.5913000000000004</v>
      </c>
      <c r="G537" s="67">
        <f>9.5981 * CHOOSE(CONTROL!$C$23, $C$13, 100%, $E$13)</f>
        <v>9.5981000000000005</v>
      </c>
      <c r="H537" s="67">
        <f>17.412* CHOOSE(CONTROL!$C$23, $C$13, 100%, $E$13)</f>
        <v>17.411999999999999</v>
      </c>
      <c r="I537" s="67">
        <f>17.4187 * CHOOSE(CONTROL!$C$23, $C$13, 100%, $E$13)</f>
        <v>17.418700000000001</v>
      </c>
      <c r="J537" s="67">
        <f>9.5913 * CHOOSE(CONTROL!$C$23, $C$13, 100%, $E$13)</f>
        <v>9.5913000000000004</v>
      </c>
      <c r="K537" s="67">
        <f>9.5981 * CHOOSE(CONTROL!$C$23, $C$13, 100%, $E$13)</f>
        <v>9.5981000000000005</v>
      </c>
    </row>
    <row r="538" spans="1:11" ht="15">
      <c r="A538" s="13">
        <v>57497</v>
      </c>
      <c r="B538" s="66">
        <f>8.0147 * CHOOSE(CONTROL!$C$23, $C$13, 100%, $E$13)</f>
        <v>8.0146999999999995</v>
      </c>
      <c r="C538" s="66">
        <f>8.0147 * CHOOSE(CONTROL!$C$23, $C$13, 100%, $E$13)</f>
        <v>8.0146999999999995</v>
      </c>
      <c r="D538" s="66">
        <f>8.0202 * CHOOSE(CONTROL!$C$23, $C$13, 100%, $E$13)</f>
        <v>8.0202000000000009</v>
      </c>
      <c r="E538" s="67">
        <f>9.5456 * CHOOSE(CONTROL!$C$23, $C$13, 100%, $E$13)</f>
        <v>9.5456000000000003</v>
      </c>
      <c r="F538" s="67">
        <f>9.5456 * CHOOSE(CONTROL!$C$23, $C$13, 100%, $E$13)</f>
        <v>9.5456000000000003</v>
      </c>
      <c r="G538" s="67">
        <f>9.5523 * CHOOSE(CONTROL!$C$23, $C$13, 100%, $E$13)</f>
        <v>9.5523000000000007</v>
      </c>
      <c r="H538" s="67">
        <f>17.4483* CHOOSE(CONTROL!$C$23, $C$13, 100%, $E$13)</f>
        <v>17.4483</v>
      </c>
      <c r="I538" s="67">
        <f>17.455 * CHOOSE(CONTROL!$C$23, $C$13, 100%, $E$13)</f>
        <v>17.454999999999998</v>
      </c>
      <c r="J538" s="67">
        <f>9.5456 * CHOOSE(CONTROL!$C$23, $C$13, 100%, $E$13)</f>
        <v>9.5456000000000003</v>
      </c>
      <c r="K538" s="67">
        <f>9.5523 * CHOOSE(CONTROL!$C$23, $C$13, 100%, $E$13)</f>
        <v>9.5523000000000007</v>
      </c>
    </row>
    <row r="539" spans="1:11" ht="15">
      <c r="A539" s="13">
        <v>57527</v>
      </c>
      <c r="B539" s="66">
        <f>8.1404 * CHOOSE(CONTROL!$C$23, $C$13, 100%, $E$13)</f>
        <v>8.1403999999999996</v>
      </c>
      <c r="C539" s="66">
        <f>8.1404 * CHOOSE(CONTROL!$C$23, $C$13, 100%, $E$13)</f>
        <v>8.1403999999999996</v>
      </c>
      <c r="D539" s="66">
        <f>8.1459 * CHOOSE(CONTROL!$C$23, $C$13, 100%, $E$13)</f>
        <v>8.1458999999999993</v>
      </c>
      <c r="E539" s="67">
        <f>9.7022 * CHOOSE(CONTROL!$C$23, $C$13, 100%, $E$13)</f>
        <v>9.7021999999999995</v>
      </c>
      <c r="F539" s="67">
        <f>9.7022 * CHOOSE(CONTROL!$C$23, $C$13, 100%, $E$13)</f>
        <v>9.7021999999999995</v>
      </c>
      <c r="G539" s="67">
        <f>9.7089 * CHOOSE(CONTROL!$C$23, $C$13, 100%, $E$13)</f>
        <v>9.7088999999999999</v>
      </c>
      <c r="H539" s="67">
        <f>17.4846* CHOOSE(CONTROL!$C$23, $C$13, 100%, $E$13)</f>
        <v>17.4846</v>
      </c>
      <c r="I539" s="67">
        <f>17.4913 * CHOOSE(CONTROL!$C$23, $C$13, 100%, $E$13)</f>
        <v>17.491299999999999</v>
      </c>
      <c r="J539" s="67">
        <f>9.7022 * CHOOSE(CONTROL!$C$23, $C$13, 100%, $E$13)</f>
        <v>9.7021999999999995</v>
      </c>
      <c r="K539" s="67">
        <f>9.7089 * CHOOSE(CONTROL!$C$23, $C$13, 100%, $E$13)</f>
        <v>9.7088999999999999</v>
      </c>
    </row>
    <row r="540" spans="1:11" ht="15">
      <c r="A540" s="13">
        <v>57558</v>
      </c>
      <c r="B540" s="66">
        <f>8.1471 * CHOOSE(CONTROL!$C$23, $C$13, 100%, $E$13)</f>
        <v>8.1471</v>
      </c>
      <c r="C540" s="66">
        <f>8.1471 * CHOOSE(CONTROL!$C$23, $C$13, 100%, $E$13)</f>
        <v>8.1471</v>
      </c>
      <c r="D540" s="66">
        <f>8.1526 * CHOOSE(CONTROL!$C$23, $C$13, 100%, $E$13)</f>
        <v>8.1525999999999996</v>
      </c>
      <c r="E540" s="67">
        <f>9.5568 * CHOOSE(CONTROL!$C$23, $C$13, 100%, $E$13)</f>
        <v>9.5568000000000008</v>
      </c>
      <c r="F540" s="67">
        <f>9.5568 * CHOOSE(CONTROL!$C$23, $C$13, 100%, $E$13)</f>
        <v>9.5568000000000008</v>
      </c>
      <c r="G540" s="67">
        <f>9.5635 * CHOOSE(CONTROL!$C$23, $C$13, 100%, $E$13)</f>
        <v>9.5634999999999994</v>
      </c>
      <c r="H540" s="67">
        <f>17.521* CHOOSE(CONTROL!$C$23, $C$13, 100%, $E$13)</f>
        <v>17.521000000000001</v>
      </c>
      <c r="I540" s="67">
        <f>17.5278 * CHOOSE(CONTROL!$C$23, $C$13, 100%, $E$13)</f>
        <v>17.527799999999999</v>
      </c>
      <c r="J540" s="67">
        <f>9.5568 * CHOOSE(CONTROL!$C$23, $C$13, 100%, $E$13)</f>
        <v>9.5568000000000008</v>
      </c>
      <c r="K540" s="67">
        <f>9.5635 * CHOOSE(CONTROL!$C$23, $C$13, 100%, $E$13)</f>
        <v>9.5634999999999994</v>
      </c>
    </row>
    <row r="541" spans="1:11" ht="15">
      <c r="A541" s="13">
        <v>57589</v>
      </c>
      <c r="B541" s="66">
        <f>8.1441 * CHOOSE(CONTROL!$C$23, $C$13, 100%, $E$13)</f>
        <v>8.1440999999999999</v>
      </c>
      <c r="C541" s="66">
        <f>8.1441 * CHOOSE(CONTROL!$C$23, $C$13, 100%, $E$13)</f>
        <v>8.1440999999999999</v>
      </c>
      <c r="D541" s="66">
        <f>8.1496 * CHOOSE(CONTROL!$C$23, $C$13, 100%, $E$13)</f>
        <v>8.1495999999999995</v>
      </c>
      <c r="E541" s="67">
        <f>9.538 * CHOOSE(CONTROL!$C$23, $C$13, 100%, $E$13)</f>
        <v>9.5380000000000003</v>
      </c>
      <c r="F541" s="67">
        <f>9.538 * CHOOSE(CONTROL!$C$23, $C$13, 100%, $E$13)</f>
        <v>9.5380000000000003</v>
      </c>
      <c r="G541" s="67">
        <f>9.5448 * CHOOSE(CONTROL!$C$23, $C$13, 100%, $E$13)</f>
        <v>9.5448000000000004</v>
      </c>
      <c r="H541" s="67">
        <f>17.5575* CHOOSE(CONTROL!$C$23, $C$13, 100%, $E$13)</f>
        <v>17.557500000000001</v>
      </c>
      <c r="I541" s="67">
        <f>17.5643 * CHOOSE(CONTROL!$C$23, $C$13, 100%, $E$13)</f>
        <v>17.564299999999999</v>
      </c>
      <c r="J541" s="67">
        <f>9.538 * CHOOSE(CONTROL!$C$23, $C$13, 100%, $E$13)</f>
        <v>9.5380000000000003</v>
      </c>
      <c r="K541" s="67">
        <f>9.5448 * CHOOSE(CONTROL!$C$23, $C$13, 100%, $E$13)</f>
        <v>9.5448000000000004</v>
      </c>
    </row>
    <row r="542" spans="1:11" ht="15">
      <c r="A542" s="13">
        <v>57619</v>
      </c>
      <c r="B542" s="66">
        <f>8.1527 * CHOOSE(CONTROL!$C$23, $C$13, 100%, $E$13)</f>
        <v>8.1526999999999994</v>
      </c>
      <c r="C542" s="66">
        <f>8.1527 * CHOOSE(CONTROL!$C$23, $C$13, 100%, $E$13)</f>
        <v>8.1526999999999994</v>
      </c>
      <c r="D542" s="66">
        <f>8.1566 * CHOOSE(CONTROL!$C$23, $C$13, 100%, $E$13)</f>
        <v>8.1565999999999992</v>
      </c>
      <c r="E542" s="67">
        <f>9.5913 * CHOOSE(CONTROL!$C$23, $C$13, 100%, $E$13)</f>
        <v>9.5913000000000004</v>
      </c>
      <c r="F542" s="67">
        <f>9.5913 * CHOOSE(CONTROL!$C$23, $C$13, 100%, $E$13)</f>
        <v>9.5913000000000004</v>
      </c>
      <c r="G542" s="67">
        <f>9.5961 * CHOOSE(CONTROL!$C$23, $C$13, 100%, $E$13)</f>
        <v>9.5960999999999999</v>
      </c>
      <c r="H542" s="67">
        <f>17.5941* CHOOSE(CONTROL!$C$23, $C$13, 100%, $E$13)</f>
        <v>17.594100000000001</v>
      </c>
      <c r="I542" s="67">
        <f>17.5989 * CHOOSE(CONTROL!$C$23, $C$13, 100%, $E$13)</f>
        <v>17.5989</v>
      </c>
      <c r="J542" s="67">
        <f>9.5913 * CHOOSE(CONTROL!$C$23, $C$13, 100%, $E$13)</f>
        <v>9.5913000000000004</v>
      </c>
      <c r="K542" s="67">
        <f>9.5961 * CHOOSE(CONTROL!$C$23, $C$13, 100%, $E$13)</f>
        <v>9.5960999999999999</v>
      </c>
    </row>
    <row r="543" spans="1:11" ht="15">
      <c r="A543" s="13">
        <v>57650</v>
      </c>
      <c r="B543" s="66">
        <f>8.1558 * CHOOSE(CONTROL!$C$23, $C$13, 100%, $E$13)</f>
        <v>8.1557999999999993</v>
      </c>
      <c r="C543" s="66">
        <f>8.1558 * CHOOSE(CONTROL!$C$23, $C$13, 100%, $E$13)</f>
        <v>8.1557999999999993</v>
      </c>
      <c r="D543" s="66">
        <f>8.1596 * CHOOSE(CONTROL!$C$23, $C$13, 100%, $E$13)</f>
        <v>8.1595999999999993</v>
      </c>
      <c r="E543" s="67">
        <f>9.6267 * CHOOSE(CONTROL!$C$23, $C$13, 100%, $E$13)</f>
        <v>9.6266999999999996</v>
      </c>
      <c r="F543" s="67">
        <f>9.6267 * CHOOSE(CONTROL!$C$23, $C$13, 100%, $E$13)</f>
        <v>9.6266999999999996</v>
      </c>
      <c r="G543" s="67">
        <f>9.6315 * CHOOSE(CONTROL!$C$23, $C$13, 100%, $E$13)</f>
        <v>9.6315000000000008</v>
      </c>
      <c r="H543" s="67">
        <f>17.6308* CHOOSE(CONTROL!$C$23, $C$13, 100%, $E$13)</f>
        <v>17.630800000000001</v>
      </c>
      <c r="I543" s="67">
        <f>17.6355 * CHOOSE(CONTROL!$C$23, $C$13, 100%, $E$13)</f>
        <v>17.6355</v>
      </c>
      <c r="J543" s="67">
        <f>9.6267 * CHOOSE(CONTROL!$C$23, $C$13, 100%, $E$13)</f>
        <v>9.6266999999999996</v>
      </c>
      <c r="K543" s="67">
        <f>9.6315 * CHOOSE(CONTROL!$C$23, $C$13, 100%, $E$13)</f>
        <v>9.6315000000000008</v>
      </c>
    </row>
    <row r="544" spans="1:11" ht="15">
      <c r="A544" s="13">
        <v>57680</v>
      </c>
      <c r="B544" s="66">
        <f>8.1558 * CHOOSE(CONTROL!$C$23, $C$13, 100%, $E$13)</f>
        <v>8.1557999999999993</v>
      </c>
      <c r="C544" s="66">
        <f>8.1558 * CHOOSE(CONTROL!$C$23, $C$13, 100%, $E$13)</f>
        <v>8.1557999999999993</v>
      </c>
      <c r="D544" s="66">
        <f>8.1596 * CHOOSE(CONTROL!$C$23, $C$13, 100%, $E$13)</f>
        <v>8.1595999999999993</v>
      </c>
      <c r="E544" s="67">
        <f>9.5434 * CHOOSE(CONTROL!$C$23, $C$13, 100%, $E$13)</f>
        <v>9.5434000000000001</v>
      </c>
      <c r="F544" s="67">
        <f>9.5434 * CHOOSE(CONTROL!$C$23, $C$13, 100%, $E$13)</f>
        <v>9.5434000000000001</v>
      </c>
      <c r="G544" s="67">
        <f>9.5482 * CHOOSE(CONTROL!$C$23, $C$13, 100%, $E$13)</f>
        <v>9.5481999999999996</v>
      </c>
      <c r="H544" s="67">
        <f>17.6675* CHOOSE(CONTROL!$C$23, $C$13, 100%, $E$13)</f>
        <v>17.6675</v>
      </c>
      <c r="I544" s="67">
        <f>17.6723 * CHOOSE(CONTROL!$C$23, $C$13, 100%, $E$13)</f>
        <v>17.6723</v>
      </c>
      <c r="J544" s="67">
        <f>9.5434 * CHOOSE(CONTROL!$C$23, $C$13, 100%, $E$13)</f>
        <v>9.5434000000000001</v>
      </c>
      <c r="K544" s="67">
        <f>9.5482 * CHOOSE(CONTROL!$C$23, $C$13, 100%, $E$13)</f>
        <v>9.5481999999999996</v>
      </c>
    </row>
    <row r="545" spans="1:11" ht="15">
      <c r="A545" s="13">
        <v>57711</v>
      </c>
      <c r="B545" s="66">
        <f>8.2256 * CHOOSE(CONTROL!$C$23, $C$13, 100%, $E$13)</f>
        <v>8.2256</v>
      </c>
      <c r="C545" s="66">
        <f>8.2256 * CHOOSE(CONTROL!$C$23, $C$13, 100%, $E$13)</f>
        <v>8.2256</v>
      </c>
      <c r="D545" s="66">
        <f>8.2295 * CHOOSE(CONTROL!$C$23, $C$13, 100%, $E$13)</f>
        <v>8.2294999999999998</v>
      </c>
      <c r="E545" s="67">
        <f>9.6809 * CHOOSE(CONTROL!$C$23, $C$13, 100%, $E$13)</f>
        <v>9.6808999999999994</v>
      </c>
      <c r="F545" s="67">
        <f>9.6809 * CHOOSE(CONTROL!$C$23, $C$13, 100%, $E$13)</f>
        <v>9.6808999999999994</v>
      </c>
      <c r="G545" s="67">
        <f>9.6857 * CHOOSE(CONTROL!$C$23, $C$13, 100%, $E$13)</f>
        <v>9.6857000000000006</v>
      </c>
      <c r="H545" s="67">
        <f>17.7043* CHOOSE(CONTROL!$C$23, $C$13, 100%, $E$13)</f>
        <v>17.7043</v>
      </c>
      <c r="I545" s="67">
        <f>17.7091 * CHOOSE(CONTROL!$C$23, $C$13, 100%, $E$13)</f>
        <v>17.709099999999999</v>
      </c>
      <c r="J545" s="67">
        <f>9.6809 * CHOOSE(CONTROL!$C$23, $C$13, 100%, $E$13)</f>
        <v>9.6808999999999994</v>
      </c>
      <c r="K545" s="67">
        <f>9.6857 * CHOOSE(CONTROL!$C$23, $C$13, 100%, $E$13)</f>
        <v>9.6857000000000006</v>
      </c>
    </row>
    <row r="546" spans="1:11" ht="15">
      <c r="A546" s="13">
        <v>57742</v>
      </c>
      <c r="B546" s="66">
        <f>8.2226 * CHOOSE(CONTROL!$C$23, $C$13, 100%, $E$13)</f>
        <v>8.2225999999999999</v>
      </c>
      <c r="C546" s="66">
        <f>8.2226 * CHOOSE(CONTROL!$C$23, $C$13, 100%, $E$13)</f>
        <v>8.2225999999999999</v>
      </c>
      <c r="D546" s="66">
        <f>8.2264 * CHOOSE(CONTROL!$C$23, $C$13, 100%, $E$13)</f>
        <v>8.2263999999999999</v>
      </c>
      <c r="E546" s="67">
        <f>9.5169 * CHOOSE(CONTROL!$C$23, $C$13, 100%, $E$13)</f>
        <v>9.5168999999999997</v>
      </c>
      <c r="F546" s="67">
        <f>9.5169 * CHOOSE(CONTROL!$C$23, $C$13, 100%, $E$13)</f>
        <v>9.5168999999999997</v>
      </c>
      <c r="G546" s="67">
        <f>9.5216 * CHOOSE(CONTROL!$C$23, $C$13, 100%, $E$13)</f>
        <v>9.5215999999999994</v>
      </c>
      <c r="H546" s="67">
        <f>17.7412* CHOOSE(CONTROL!$C$23, $C$13, 100%, $E$13)</f>
        <v>17.741199999999999</v>
      </c>
      <c r="I546" s="67">
        <f>17.746 * CHOOSE(CONTROL!$C$23, $C$13, 100%, $E$13)</f>
        <v>17.745999999999999</v>
      </c>
      <c r="J546" s="67">
        <f>9.5169 * CHOOSE(CONTROL!$C$23, $C$13, 100%, $E$13)</f>
        <v>9.5168999999999997</v>
      </c>
      <c r="K546" s="67">
        <f>9.5216 * CHOOSE(CONTROL!$C$23, $C$13, 100%, $E$13)</f>
        <v>9.5215999999999994</v>
      </c>
    </row>
    <row r="547" spans="1:11" ht="15">
      <c r="A547" s="13">
        <v>57770</v>
      </c>
      <c r="B547" s="66">
        <f>8.2195 * CHOOSE(CONTROL!$C$23, $C$13, 100%, $E$13)</f>
        <v>8.2195</v>
      </c>
      <c r="C547" s="66">
        <f>8.2195 * CHOOSE(CONTROL!$C$23, $C$13, 100%, $E$13)</f>
        <v>8.2195</v>
      </c>
      <c r="D547" s="66">
        <f>8.2234 * CHOOSE(CONTROL!$C$23, $C$13, 100%, $E$13)</f>
        <v>8.2233999999999998</v>
      </c>
      <c r="E547" s="67">
        <f>9.6424 * CHOOSE(CONTROL!$C$23, $C$13, 100%, $E$13)</f>
        <v>9.6424000000000003</v>
      </c>
      <c r="F547" s="67">
        <f>9.6424 * CHOOSE(CONTROL!$C$23, $C$13, 100%, $E$13)</f>
        <v>9.6424000000000003</v>
      </c>
      <c r="G547" s="67">
        <f>9.6472 * CHOOSE(CONTROL!$C$23, $C$13, 100%, $E$13)</f>
        <v>9.6471999999999998</v>
      </c>
      <c r="H547" s="67">
        <f>17.7782* CHOOSE(CONTROL!$C$23, $C$13, 100%, $E$13)</f>
        <v>17.778199999999998</v>
      </c>
      <c r="I547" s="67">
        <f>17.7829 * CHOOSE(CONTROL!$C$23, $C$13, 100%, $E$13)</f>
        <v>17.782900000000001</v>
      </c>
      <c r="J547" s="67">
        <f>9.6424 * CHOOSE(CONTROL!$C$23, $C$13, 100%, $E$13)</f>
        <v>9.6424000000000003</v>
      </c>
      <c r="K547" s="67">
        <f>9.6472 * CHOOSE(CONTROL!$C$23, $C$13, 100%, $E$13)</f>
        <v>9.6471999999999998</v>
      </c>
    </row>
    <row r="548" spans="1:11" ht="15">
      <c r="A548" s="13">
        <v>57801</v>
      </c>
      <c r="B548" s="66">
        <f>8.2208 * CHOOSE(CONTROL!$C$23, $C$13, 100%, $E$13)</f>
        <v>8.2208000000000006</v>
      </c>
      <c r="C548" s="66">
        <f>8.2208 * CHOOSE(CONTROL!$C$23, $C$13, 100%, $E$13)</f>
        <v>8.2208000000000006</v>
      </c>
      <c r="D548" s="66">
        <f>8.2247 * CHOOSE(CONTROL!$C$23, $C$13, 100%, $E$13)</f>
        <v>8.2247000000000003</v>
      </c>
      <c r="E548" s="67">
        <f>9.7753 * CHOOSE(CONTROL!$C$23, $C$13, 100%, $E$13)</f>
        <v>9.7752999999999997</v>
      </c>
      <c r="F548" s="67">
        <f>9.7753 * CHOOSE(CONTROL!$C$23, $C$13, 100%, $E$13)</f>
        <v>9.7752999999999997</v>
      </c>
      <c r="G548" s="67">
        <f>9.7801 * CHOOSE(CONTROL!$C$23, $C$13, 100%, $E$13)</f>
        <v>9.7800999999999991</v>
      </c>
      <c r="H548" s="67">
        <f>17.8152* CHOOSE(CONTROL!$C$23, $C$13, 100%, $E$13)</f>
        <v>17.815200000000001</v>
      </c>
      <c r="I548" s="67">
        <f>17.82 * CHOOSE(CONTROL!$C$23, $C$13, 100%, $E$13)</f>
        <v>17.82</v>
      </c>
      <c r="J548" s="67">
        <f>9.7753 * CHOOSE(CONTROL!$C$23, $C$13, 100%, $E$13)</f>
        <v>9.7752999999999997</v>
      </c>
      <c r="K548" s="67">
        <f>9.7801 * CHOOSE(CONTROL!$C$23, $C$13, 100%, $E$13)</f>
        <v>9.7800999999999991</v>
      </c>
    </row>
    <row r="549" spans="1:11" ht="15">
      <c r="A549" s="13">
        <v>57831</v>
      </c>
      <c r="B549" s="66">
        <f>8.2208 * CHOOSE(CONTROL!$C$23, $C$13, 100%, $E$13)</f>
        <v>8.2208000000000006</v>
      </c>
      <c r="C549" s="66">
        <f>8.2208 * CHOOSE(CONTROL!$C$23, $C$13, 100%, $E$13)</f>
        <v>8.2208000000000006</v>
      </c>
      <c r="D549" s="66">
        <f>8.2263 * CHOOSE(CONTROL!$C$23, $C$13, 100%, $E$13)</f>
        <v>8.2263000000000002</v>
      </c>
      <c r="E549" s="67">
        <f>9.8267 * CHOOSE(CONTROL!$C$23, $C$13, 100%, $E$13)</f>
        <v>9.8267000000000007</v>
      </c>
      <c r="F549" s="67">
        <f>9.8267 * CHOOSE(CONTROL!$C$23, $C$13, 100%, $E$13)</f>
        <v>9.8267000000000007</v>
      </c>
      <c r="G549" s="67">
        <f>9.8334 * CHOOSE(CONTROL!$C$23, $C$13, 100%, $E$13)</f>
        <v>9.8333999999999993</v>
      </c>
      <c r="H549" s="67">
        <f>17.8523* CHOOSE(CONTROL!$C$23, $C$13, 100%, $E$13)</f>
        <v>17.8523</v>
      </c>
      <c r="I549" s="67">
        <f>17.859 * CHOOSE(CONTROL!$C$23, $C$13, 100%, $E$13)</f>
        <v>17.859000000000002</v>
      </c>
      <c r="J549" s="67">
        <f>9.8267 * CHOOSE(CONTROL!$C$23, $C$13, 100%, $E$13)</f>
        <v>9.8267000000000007</v>
      </c>
      <c r="K549" s="67">
        <f>9.8334 * CHOOSE(CONTROL!$C$23, $C$13, 100%, $E$13)</f>
        <v>9.8333999999999993</v>
      </c>
    </row>
    <row r="550" spans="1:11" ht="15">
      <c r="A550" s="13">
        <v>57862</v>
      </c>
      <c r="B550" s="66">
        <f>8.2269 * CHOOSE(CONTROL!$C$23, $C$13, 100%, $E$13)</f>
        <v>8.2269000000000005</v>
      </c>
      <c r="C550" s="66">
        <f>8.2269 * CHOOSE(CONTROL!$C$23, $C$13, 100%, $E$13)</f>
        <v>8.2269000000000005</v>
      </c>
      <c r="D550" s="66">
        <f>8.2324 * CHOOSE(CONTROL!$C$23, $C$13, 100%, $E$13)</f>
        <v>8.2324000000000002</v>
      </c>
      <c r="E550" s="67">
        <f>9.7795 * CHOOSE(CONTROL!$C$23, $C$13, 100%, $E$13)</f>
        <v>9.7795000000000005</v>
      </c>
      <c r="F550" s="67">
        <f>9.7795 * CHOOSE(CONTROL!$C$23, $C$13, 100%, $E$13)</f>
        <v>9.7795000000000005</v>
      </c>
      <c r="G550" s="67">
        <f>9.7863 * CHOOSE(CONTROL!$C$23, $C$13, 100%, $E$13)</f>
        <v>9.7863000000000007</v>
      </c>
      <c r="H550" s="67">
        <f>17.8895* CHOOSE(CONTROL!$C$23, $C$13, 100%, $E$13)</f>
        <v>17.889500000000002</v>
      </c>
      <c r="I550" s="67">
        <f>17.8962 * CHOOSE(CONTROL!$C$23, $C$13, 100%, $E$13)</f>
        <v>17.8962</v>
      </c>
      <c r="J550" s="67">
        <f>9.7795 * CHOOSE(CONTROL!$C$23, $C$13, 100%, $E$13)</f>
        <v>9.7795000000000005</v>
      </c>
      <c r="K550" s="67">
        <f>9.7863 * CHOOSE(CONTROL!$C$23, $C$13, 100%, $E$13)</f>
        <v>9.7863000000000007</v>
      </c>
    </row>
    <row r="551" spans="1:11" ht="15">
      <c r="A551" s="13">
        <v>57892</v>
      </c>
      <c r="B551" s="66">
        <f>8.3557 * CHOOSE(CONTROL!$C$23, $C$13, 100%, $E$13)</f>
        <v>8.3557000000000006</v>
      </c>
      <c r="C551" s="66">
        <f>8.3557 * CHOOSE(CONTROL!$C$23, $C$13, 100%, $E$13)</f>
        <v>8.3557000000000006</v>
      </c>
      <c r="D551" s="66">
        <f>8.3612 * CHOOSE(CONTROL!$C$23, $C$13, 100%, $E$13)</f>
        <v>8.3612000000000002</v>
      </c>
      <c r="E551" s="67">
        <f>9.9397 * CHOOSE(CONTROL!$C$23, $C$13, 100%, $E$13)</f>
        <v>9.9397000000000002</v>
      </c>
      <c r="F551" s="67">
        <f>9.9397 * CHOOSE(CONTROL!$C$23, $C$13, 100%, $E$13)</f>
        <v>9.9397000000000002</v>
      </c>
      <c r="G551" s="67">
        <f>9.9464 * CHOOSE(CONTROL!$C$23, $C$13, 100%, $E$13)</f>
        <v>9.9464000000000006</v>
      </c>
      <c r="H551" s="67">
        <f>17.9268* CHOOSE(CONTROL!$C$23, $C$13, 100%, $E$13)</f>
        <v>17.9268</v>
      </c>
      <c r="I551" s="67">
        <f>17.9335 * CHOOSE(CONTROL!$C$23, $C$13, 100%, $E$13)</f>
        <v>17.933499999999999</v>
      </c>
      <c r="J551" s="67">
        <f>9.9397 * CHOOSE(CONTROL!$C$23, $C$13, 100%, $E$13)</f>
        <v>9.9397000000000002</v>
      </c>
      <c r="K551" s="67">
        <f>9.9464 * CHOOSE(CONTROL!$C$23, $C$13, 100%, $E$13)</f>
        <v>9.9464000000000006</v>
      </c>
    </row>
    <row r="552" spans="1:11" ht="15">
      <c r="A552" s="13">
        <v>57923</v>
      </c>
      <c r="B552" s="66">
        <f>8.3623 * CHOOSE(CONTROL!$C$23, $C$13, 100%, $E$13)</f>
        <v>8.3622999999999994</v>
      </c>
      <c r="C552" s="66">
        <f>8.3623 * CHOOSE(CONTROL!$C$23, $C$13, 100%, $E$13)</f>
        <v>8.3622999999999994</v>
      </c>
      <c r="D552" s="66">
        <f>8.3678 * CHOOSE(CONTROL!$C$23, $C$13, 100%, $E$13)</f>
        <v>8.3678000000000008</v>
      </c>
      <c r="E552" s="67">
        <f>9.7901 * CHOOSE(CONTROL!$C$23, $C$13, 100%, $E$13)</f>
        <v>9.7901000000000007</v>
      </c>
      <c r="F552" s="67">
        <f>9.7901 * CHOOSE(CONTROL!$C$23, $C$13, 100%, $E$13)</f>
        <v>9.7901000000000007</v>
      </c>
      <c r="G552" s="67">
        <f>9.7968 * CHOOSE(CONTROL!$C$23, $C$13, 100%, $E$13)</f>
        <v>9.7967999999999993</v>
      </c>
      <c r="H552" s="67">
        <f>17.9641* CHOOSE(CONTROL!$C$23, $C$13, 100%, $E$13)</f>
        <v>17.964099999999998</v>
      </c>
      <c r="I552" s="67">
        <f>17.9709 * CHOOSE(CONTROL!$C$23, $C$13, 100%, $E$13)</f>
        <v>17.9709</v>
      </c>
      <c r="J552" s="67">
        <f>9.7901 * CHOOSE(CONTROL!$C$23, $C$13, 100%, $E$13)</f>
        <v>9.7901000000000007</v>
      </c>
      <c r="K552" s="67">
        <f>9.7968 * CHOOSE(CONTROL!$C$23, $C$13, 100%, $E$13)</f>
        <v>9.7967999999999993</v>
      </c>
    </row>
    <row r="553" spans="1:11" ht="15">
      <c r="A553" s="13">
        <v>57954</v>
      </c>
      <c r="B553" s="66">
        <f>8.3593 * CHOOSE(CONTROL!$C$23, $C$13, 100%, $E$13)</f>
        <v>8.3592999999999993</v>
      </c>
      <c r="C553" s="66">
        <f>8.3593 * CHOOSE(CONTROL!$C$23, $C$13, 100%, $E$13)</f>
        <v>8.3592999999999993</v>
      </c>
      <c r="D553" s="66">
        <f>8.3648 * CHOOSE(CONTROL!$C$23, $C$13, 100%, $E$13)</f>
        <v>8.3648000000000007</v>
      </c>
      <c r="E553" s="67">
        <f>9.7709 * CHOOSE(CONTROL!$C$23, $C$13, 100%, $E$13)</f>
        <v>9.7708999999999993</v>
      </c>
      <c r="F553" s="67">
        <f>9.7709 * CHOOSE(CONTROL!$C$23, $C$13, 100%, $E$13)</f>
        <v>9.7708999999999993</v>
      </c>
      <c r="G553" s="67">
        <f>9.7776 * CHOOSE(CONTROL!$C$23, $C$13, 100%, $E$13)</f>
        <v>9.7775999999999996</v>
      </c>
      <c r="H553" s="67">
        <f>18.0015* CHOOSE(CONTROL!$C$23, $C$13, 100%, $E$13)</f>
        <v>18.0015</v>
      </c>
      <c r="I553" s="67">
        <f>18.0083 * CHOOSE(CONTROL!$C$23, $C$13, 100%, $E$13)</f>
        <v>18.008299999999998</v>
      </c>
      <c r="J553" s="67">
        <f>9.7709 * CHOOSE(CONTROL!$C$23, $C$13, 100%, $E$13)</f>
        <v>9.7708999999999993</v>
      </c>
      <c r="K553" s="67">
        <f>9.7776 * CHOOSE(CONTROL!$C$23, $C$13, 100%, $E$13)</f>
        <v>9.7775999999999996</v>
      </c>
    </row>
    <row r="554" spans="1:11" ht="15">
      <c r="A554" s="13">
        <v>57984</v>
      </c>
      <c r="B554" s="66">
        <f>8.3686 * CHOOSE(CONTROL!$C$23, $C$13, 100%, $E$13)</f>
        <v>8.3686000000000007</v>
      </c>
      <c r="C554" s="66">
        <f>8.3686 * CHOOSE(CONTROL!$C$23, $C$13, 100%, $E$13)</f>
        <v>8.3686000000000007</v>
      </c>
      <c r="D554" s="66">
        <f>8.3725 * CHOOSE(CONTROL!$C$23, $C$13, 100%, $E$13)</f>
        <v>8.3725000000000005</v>
      </c>
      <c r="E554" s="67">
        <f>9.826 * CHOOSE(CONTROL!$C$23, $C$13, 100%, $E$13)</f>
        <v>9.8260000000000005</v>
      </c>
      <c r="F554" s="67">
        <f>9.826 * CHOOSE(CONTROL!$C$23, $C$13, 100%, $E$13)</f>
        <v>9.8260000000000005</v>
      </c>
      <c r="G554" s="67">
        <f>9.8308 * CHOOSE(CONTROL!$C$23, $C$13, 100%, $E$13)</f>
        <v>9.8308</v>
      </c>
      <c r="H554" s="67">
        <f>18.039* CHOOSE(CONTROL!$C$23, $C$13, 100%, $E$13)</f>
        <v>18.039000000000001</v>
      </c>
      <c r="I554" s="67">
        <f>18.0438 * CHOOSE(CONTROL!$C$23, $C$13, 100%, $E$13)</f>
        <v>18.043800000000001</v>
      </c>
      <c r="J554" s="67">
        <f>9.826 * CHOOSE(CONTROL!$C$23, $C$13, 100%, $E$13)</f>
        <v>9.8260000000000005</v>
      </c>
      <c r="K554" s="67">
        <f>9.8308 * CHOOSE(CONTROL!$C$23, $C$13, 100%, $E$13)</f>
        <v>9.8308</v>
      </c>
    </row>
    <row r="555" spans="1:11" ht="15">
      <c r="A555" s="13">
        <v>58015</v>
      </c>
      <c r="B555" s="66">
        <f>8.3717 * CHOOSE(CONTROL!$C$23, $C$13, 100%, $E$13)</f>
        <v>8.3717000000000006</v>
      </c>
      <c r="C555" s="66">
        <f>8.3717 * CHOOSE(CONTROL!$C$23, $C$13, 100%, $E$13)</f>
        <v>8.3717000000000006</v>
      </c>
      <c r="D555" s="66">
        <f>8.3755 * CHOOSE(CONTROL!$C$23, $C$13, 100%, $E$13)</f>
        <v>8.3755000000000006</v>
      </c>
      <c r="E555" s="67">
        <f>9.8624 * CHOOSE(CONTROL!$C$23, $C$13, 100%, $E$13)</f>
        <v>9.8623999999999992</v>
      </c>
      <c r="F555" s="67">
        <f>9.8624 * CHOOSE(CONTROL!$C$23, $C$13, 100%, $E$13)</f>
        <v>9.8623999999999992</v>
      </c>
      <c r="G555" s="67">
        <f>9.8672 * CHOOSE(CONTROL!$C$23, $C$13, 100%, $E$13)</f>
        <v>9.8672000000000004</v>
      </c>
      <c r="H555" s="67">
        <f>18.0766* CHOOSE(CONTROL!$C$23, $C$13, 100%, $E$13)</f>
        <v>18.076599999999999</v>
      </c>
      <c r="I555" s="67">
        <f>18.0814 * CHOOSE(CONTROL!$C$23, $C$13, 100%, $E$13)</f>
        <v>18.081399999999999</v>
      </c>
      <c r="J555" s="67">
        <f>9.8624 * CHOOSE(CONTROL!$C$23, $C$13, 100%, $E$13)</f>
        <v>9.8623999999999992</v>
      </c>
      <c r="K555" s="67">
        <f>9.8672 * CHOOSE(CONTROL!$C$23, $C$13, 100%, $E$13)</f>
        <v>9.8672000000000004</v>
      </c>
    </row>
    <row r="556" spans="1:11" ht="15">
      <c r="A556" s="13">
        <v>58045</v>
      </c>
      <c r="B556" s="66">
        <f>8.3717 * CHOOSE(CONTROL!$C$23, $C$13, 100%, $E$13)</f>
        <v>8.3717000000000006</v>
      </c>
      <c r="C556" s="66">
        <f>8.3717 * CHOOSE(CONTROL!$C$23, $C$13, 100%, $E$13)</f>
        <v>8.3717000000000006</v>
      </c>
      <c r="D556" s="66">
        <f>8.3755 * CHOOSE(CONTROL!$C$23, $C$13, 100%, $E$13)</f>
        <v>8.3755000000000006</v>
      </c>
      <c r="E556" s="67">
        <f>9.7767 * CHOOSE(CONTROL!$C$23, $C$13, 100%, $E$13)</f>
        <v>9.7766999999999999</v>
      </c>
      <c r="F556" s="67">
        <f>9.7767 * CHOOSE(CONTROL!$C$23, $C$13, 100%, $E$13)</f>
        <v>9.7766999999999999</v>
      </c>
      <c r="G556" s="67">
        <f>9.7815 * CHOOSE(CONTROL!$C$23, $C$13, 100%, $E$13)</f>
        <v>9.7814999999999994</v>
      </c>
      <c r="H556" s="67">
        <f>18.1143* CHOOSE(CONTROL!$C$23, $C$13, 100%, $E$13)</f>
        <v>18.1143</v>
      </c>
      <c r="I556" s="67">
        <f>18.1191 * CHOOSE(CONTROL!$C$23, $C$13, 100%, $E$13)</f>
        <v>18.1191</v>
      </c>
      <c r="J556" s="67">
        <f>9.7767 * CHOOSE(CONTROL!$C$23, $C$13, 100%, $E$13)</f>
        <v>9.7766999999999999</v>
      </c>
      <c r="K556" s="67">
        <f>9.7815 * CHOOSE(CONTROL!$C$23, $C$13, 100%, $E$13)</f>
        <v>9.7814999999999994</v>
      </c>
    </row>
    <row r="557" spans="1:11" ht="15">
      <c r="A557" s="13">
        <v>58076</v>
      </c>
      <c r="B557" s="66">
        <f>8.4433 * CHOOSE(CONTROL!$C$23, $C$13, 100%, $E$13)</f>
        <v>8.4433000000000007</v>
      </c>
      <c r="C557" s="66">
        <f>8.4433 * CHOOSE(CONTROL!$C$23, $C$13, 100%, $E$13)</f>
        <v>8.4433000000000007</v>
      </c>
      <c r="D557" s="66">
        <f>8.4471 * CHOOSE(CONTROL!$C$23, $C$13, 100%, $E$13)</f>
        <v>8.4471000000000007</v>
      </c>
      <c r="E557" s="67">
        <f>9.9178 * CHOOSE(CONTROL!$C$23, $C$13, 100%, $E$13)</f>
        <v>9.9177999999999997</v>
      </c>
      <c r="F557" s="67">
        <f>9.9178 * CHOOSE(CONTROL!$C$23, $C$13, 100%, $E$13)</f>
        <v>9.9177999999999997</v>
      </c>
      <c r="G557" s="67">
        <f>9.9225 * CHOOSE(CONTROL!$C$23, $C$13, 100%, $E$13)</f>
        <v>9.9224999999999994</v>
      </c>
      <c r="H557" s="67">
        <f>18.152* CHOOSE(CONTROL!$C$23, $C$13, 100%, $E$13)</f>
        <v>18.152000000000001</v>
      </c>
      <c r="I557" s="67">
        <f>18.1568 * CHOOSE(CONTROL!$C$23, $C$13, 100%, $E$13)</f>
        <v>18.1568</v>
      </c>
      <c r="J557" s="67">
        <f>9.9178 * CHOOSE(CONTROL!$C$23, $C$13, 100%, $E$13)</f>
        <v>9.9177999999999997</v>
      </c>
      <c r="K557" s="67">
        <f>9.9225 * CHOOSE(CONTROL!$C$23, $C$13, 100%, $E$13)</f>
        <v>9.9224999999999994</v>
      </c>
    </row>
    <row r="558" spans="1:11" ht="15">
      <c r="A558" s="13">
        <v>58107</v>
      </c>
      <c r="B558" s="66">
        <f>8.4402 * CHOOSE(CONTROL!$C$23, $C$13, 100%, $E$13)</f>
        <v>8.4402000000000008</v>
      </c>
      <c r="C558" s="66">
        <f>8.4402 * CHOOSE(CONTROL!$C$23, $C$13, 100%, $E$13)</f>
        <v>8.4402000000000008</v>
      </c>
      <c r="D558" s="66">
        <f>8.4441 * CHOOSE(CONTROL!$C$23, $C$13, 100%, $E$13)</f>
        <v>8.4441000000000006</v>
      </c>
      <c r="E558" s="67">
        <f>9.7492 * CHOOSE(CONTROL!$C$23, $C$13, 100%, $E$13)</f>
        <v>9.7492000000000001</v>
      </c>
      <c r="F558" s="67">
        <f>9.7492 * CHOOSE(CONTROL!$C$23, $C$13, 100%, $E$13)</f>
        <v>9.7492000000000001</v>
      </c>
      <c r="G558" s="67">
        <f>9.7539 * CHOOSE(CONTROL!$C$23, $C$13, 100%, $E$13)</f>
        <v>9.7538999999999998</v>
      </c>
      <c r="H558" s="67">
        <f>18.1898* CHOOSE(CONTROL!$C$23, $C$13, 100%, $E$13)</f>
        <v>18.189800000000002</v>
      </c>
      <c r="I558" s="67">
        <f>18.1946 * CHOOSE(CONTROL!$C$23, $C$13, 100%, $E$13)</f>
        <v>18.194600000000001</v>
      </c>
      <c r="J558" s="67">
        <f>9.7492 * CHOOSE(CONTROL!$C$23, $C$13, 100%, $E$13)</f>
        <v>9.7492000000000001</v>
      </c>
      <c r="K558" s="67">
        <f>9.7539 * CHOOSE(CONTROL!$C$23, $C$13, 100%, $E$13)</f>
        <v>9.7538999999999998</v>
      </c>
    </row>
    <row r="559" spans="1:11" ht="15">
      <c r="A559" s="13">
        <v>58135</v>
      </c>
      <c r="B559" s="66">
        <f>8.4372 * CHOOSE(CONTROL!$C$23, $C$13, 100%, $E$13)</f>
        <v>8.4372000000000007</v>
      </c>
      <c r="C559" s="66">
        <f>8.4372 * CHOOSE(CONTROL!$C$23, $C$13, 100%, $E$13)</f>
        <v>8.4372000000000007</v>
      </c>
      <c r="D559" s="66">
        <f>8.4411 * CHOOSE(CONTROL!$C$23, $C$13, 100%, $E$13)</f>
        <v>8.4411000000000005</v>
      </c>
      <c r="E559" s="67">
        <f>9.8783 * CHOOSE(CONTROL!$C$23, $C$13, 100%, $E$13)</f>
        <v>9.8782999999999994</v>
      </c>
      <c r="F559" s="67">
        <f>9.8783 * CHOOSE(CONTROL!$C$23, $C$13, 100%, $E$13)</f>
        <v>9.8782999999999994</v>
      </c>
      <c r="G559" s="67">
        <f>9.8831 * CHOOSE(CONTROL!$C$23, $C$13, 100%, $E$13)</f>
        <v>9.8831000000000007</v>
      </c>
      <c r="H559" s="67">
        <f>18.2277* CHOOSE(CONTROL!$C$23, $C$13, 100%, $E$13)</f>
        <v>18.227699999999999</v>
      </c>
      <c r="I559" s="67">
        <f>18.2325 * CHOOSE(CONTROL!$C$23, $C$13, 100%, $E$13)</f>
        <v>18.232500000000002</v>
      </c>
      <c r="J559" s="67">
        <f>9.8783 * CHOOSE(CONTROL!$C$23, $C$13, 100%, $E$13)</f>
        <v>9.8782999999999994</v>
      </c>
      <c r="K559" s="67">
        <f>9.8831 * CHOOSE(CONTROL!$C$23, $C$13, 100%, $E$13)</f>
        <v>9.8831000000000007</v>
      </c>
    </row>
    <row r="560" spans="1:11" ht="15">
      <c r="A560" s="13">
        <v>58166</v>
      </c>
      <c r="B560" s="66">
        <f>8.4386 * CHOOSE(CONTROL!$C$23, $C$13, 100%, $E$13)</f>
        <v>8.4385999999999992</v>
      </c>
      <c r="C560" s="66">
        <f>8.4386 * CHOOSE(CONTROL!$C$23, $C$13, 100%, $E$13)</f>
        <v>8.4385999999999992</v>
      </c>
      <c r="D560" s="66">
        <f>8.4425 * CHOOSE(CONTROL!$C$23, $C$13, 100%, $E$13)</f>
        <v>8.4425000000000008</v>
      </c>
      <c r="E560" s="67">
        <f>10.015 * CHOOSE(CONTROL!$C$23, $C$13, 100%, $E$13)</f>
        <v>10.015000000000001</v>
      </c>
      <c r="F560" s="67">
        <f>10.015 * CHOOSE(CONTROL!$C$23, $C$13, 100%, $E$13)</f>
        <v>10.015000000000001</v>
      </c>
      <c r="G560" s="67">
        <f>10.0198 * CHOOSE(CONTROL!$C$23, $C$13, 100%, $E$13)</f>
        <v>10.0198</v>
      </c>
      <c r="H560" s="67">
        <f>18.2657* CHOOSE(CONTROL!$C$23, $C$13, 100%, $E$13)</f>
        <v>18.265699999999999</v>
      </c>
      <c r="I560" s="67">
        <f>18.2705 * CHOOSE(CONTROL!$C$23, $C$13, 100%, $E$13)</f>
        <v>18.270499999999998</v>
      </c>
      <c r="J560" s="67">
        <f>10.015 * CHOOSE(CONTROL!$C$23, $C$13, 100%, $E$13)</f>
        <v>10.015000000000001</v>
      </c>
      <c r="K560" s="67">
        <f>10.0198 * CHOOSE(CONTROL!$C$23, $C$13, 100%, $E$13)</f>
        <v>10.0198</v>
      </c>
    </row>
    <row r="561" spans="1:11" ht="15">
      <c r="A561" s="13">
        <v>58196</v>
      </c>
      <c r="B561" s="66">
        <f>8.4386 * CHOOSE(CONTROL!$C$23, $C$13, 100%, $E$13)</f>
        <v>8.4385999999999992</v>
      </c>
      <c r="C561" s="66">
        <f>8.4386 * CHOOSE(CONTROL!$C$23, $C$13, 100%, $E$13)</f>
        <v>8.4385999999999992</v>
      </c>
      <c r="D561" s="66">
        <f>8.4441 * CHOOSE(CONTROL!$C$23, $C$13, 100%, $E$13)</f>
        <v>8.4441000000000006</v>
      </c>
      <c r="E561" s="67">
        <f>10.0679 * CHOOSE(CONTROL!$C$23, $C$13, 100%, $E$13)</f>
        <v>10.0679</v>
      </c>
      <c r="F561" s="67">
        <f>10.0679 * CHOOSE(CONTROL!$C$23, $C$13, 100%, $E$13)</f>
        <v>10.0679</v>
      </c>
      <c r="G561" s="67">
        <f>10.0746 * CHOOSE(CONTROL!$C$23, $C$13, 100%, $E$13)</f>
        <v>10.0746</v>
      </c>
      <c r="H561" s="67">
        <f>18.3038* CHOOSE(CONTROL!$C$23, $C$13, 100%, $E$13)</f>
        <v>18.303799999999999</v>
      </c>
      <c r="I561" s="67">
        <f>18.3105 * CHOOSE(CONTROL!$C$23, $C$13, 100%, $E$13)</f>
        <v>18.310500000000001</v>
      </c>
      <c r="J561" s="67">
        <f>10.0679 * CHOOSE(CONTROL!$C$23, $C$13, 100%, $E$13)</f>
        <v>10.0679</v>
      </c>
      <c r="K561" s="67">
        <f>10.0746 * CHOOSE(CONTROL!$C$23, $C$13, 100%, $E$13)</f>
        <v>10.0746</v>
      </c>
    </row>
    <row r="562" spans="1:11" ht="15">
      <c r="A562" s="13">
        <v>58227</v>
      </c>
      <c r="B562" s="66">
        <f>8.4447 * CHOOSE(CONTROL!$C$23, $C$13, 100%, $E$13)</f>
        <v>8.4446999999999992</v>
      </c>
      <c r="C562" s="66">
        <f>8.4447 * CHOOSE(CONTROL!$C$23, $C$13, 100%, $E$13)</f>
        <v>8.4446999999999992</v>
      </c>
      <c r="D562" s="66">
        <f>8.4502 * CHOOSE(CONTROL!$C$23, $C$13, 100%, $E$13)</f>
        <v>8.4502000000000006</v>
      </c>
      <c r="E562" s="67">
        <f>10.0192 * CHOOSE(CONTROL!$C$23, $C$13, 100%, $E$13)</f>
        <v>10.0192</v>
      </c>
      <c r="F562" s="67">
        <f>10.0192 * CHOOSE(CONTROL!$C$23, $C$13, 100%, $E$13)</f>
        <v>10.0192</v>
      </c>
      <c r="G562" s="67">
        <f>10.026 * CHOOSE(CONTROL!$C$23, $C$13, 100%, $E$13)</f>
        <v>10.026</v>
      </c>
      <c r="H562" s="67">
        <f>18.3419* CHOOSE(CONTROL!$C$23, $C$13, 100%, $E$13)</f>
        <v>18.341899999999999</v>
      </c>
      <c r="I562" s="67">
        <f>18.3486 * CHOOSE(CONTROL!$C$23, $C$13, 100%, $E$13)</f>
        <v>18.348600000000001</v>
      </c>
      <c r="J562" s="67">
        <f>10.0192 * CHOOSE(CONTROL!$C$23, $C$13, 100%, $E$13)</f>
        <v>10.0192</v>
      </c>
      <c r="K562" s="67">
        <f>10.026 * CHOOSE(CONTROL!$C$23, $C$13, 100%, $E$13)</f>
        <v>10.026</v>
      </c>
    </row>
    <row r="563" spans="1:11" ht="15">
      <c r="A563" s="13">
        <v>58257</v>
      </c>
      <c r="B563" s="66">
        <f>8.5766 * CHOOSE(CONTROL!$C$23, $C$13, 100%, $E$13)</f>
        <v>8.5765999999999991</v>
      </c>
      <c r="C563" s="66">
        <f>8.5766 * CHOOSE(CONTROL!$C$23, $C$13, 100%, $E$13)</f>
        <v>8.5765999999999991</v>
      </c>
      <c r="D563" s="66">
        <f>8.5821 * CHOOSE(CONTROL!$C$23, $C$13, 100%, $E$13)</f>
        <v>8.5821000000000005</v>
      </c>
      <c r="E563" s="67">
        <f>10.183 * CHOOSE(CONTROL!$C$23, $C$13, 100%, $E$13)</f>
        <v>10.183</v>
      </c>
      <c r="F563" s="67">
        <f>10.183 * CHOOSE(CONTROL!$C$23, $C$13, 100%, $E$13)</f>
        <v>10.183</v>
      </c>
      <c r="G563" s="67">
        <f>10.1898 * CHOOSE(CONTROL!$C$23, $C$13, 100%, $E$13)</f>
        <v>10.1898</v>
      </c>
      <c r="H563" s="67">
        <f>18.3801* CHOOSE(CONTROL!$C$23, $C$13, 100%, $E$13)</f>
        <v>18.380099999999999</v>
      </c>
      <c r="I563" s="67">
        <f>18.3868 * CHOOSE(CONTROL!$C$23, $C$13, 100%, $E$13)</f>
        <v>18.386800000000001</v>
      </c>
      <c r="J563" s="67">
        <f>10.183 * CHOOSE(CONTROL!$C$23, $C$13, 100%, $E$13)</f>
        <v>10.183</v>
      </c>
      <c r="K563" s="67">
        <f>10.1898 * CHOOSE(CONTROL!$C$23, $C$13, 100%, $E$13)</f>
        <v>10.1898</v>
      </c>
    </row>
    <row r="564" spans="1:11" ht="15">
      <c r="A564" s="13">
        <v>58288</v>
      </c>
      <c r="B564" s="66">
        <f>8.5833 * CHOOSE(CONTROL!$C$23, $C$13, 100%, $E$13)</f>
        <v>8.5832999999999995</v>
      </c>
      <c r="C564" s="66">
        <f>8.5833 * CHOOSE(CONTROL!$C$23, $C$13, 100%, $E$13)</f>
        <v>8.5832999999999995</v>
      </c>
      <c r="D564" s="66">
        <f>8.5888 * CHOOSE(CONTROL!$C$23, $C$13, 100%, $E$13)</f>
        <v>8.5888000000000009</v>
      </c>
      <c r="E564" s="67">
        <f>10.0291 * CHOOSE(CONTROL!$C$23, $C$13, 100%, $E$13)</f>
        <v>10.0291</v>
      </c>
      <c r="F564" s="67">
        <f>10.0291 * CHOOSE(CONTROL!$C$23, $C$13, 100%, $E$13)</f>
        <v>10.0291</v>
      </c>
      <c r="G564" s="67">
        <f>10.0359 * CHOOSE(CONTROL!$C$23, $C$13, 100%, $E$13)</f>
        <v>10.0359</v>
      </c>
      <c r="H564" s="67">
        <f>18.4184* CHOOSE(CONTROL!$C$23, $C$13, 100%, $E$13)</f>
        <v>18.418399999999998</v>
      </c>
      <c r="I564" s="67">
        <f>18.4251 * CHOOSE(CONTROL!$C$23, $C$13, 100%, $E$13)</f>
        <v>18.4251</v>
      </c>
      <c r="J564" s="67">
        <f>10.0291 * CHOOSE(CONTROL!$C$23, $C$13, 100%, $E$13)</f>
        <v>10.0291</v>
      </c>
      <c r="K564" s="67">
        <f>10.0359 * CHOOSE(CONTROL!$C$23, $C$13, 100%, $E$13)</f>
        <v>10.0359</v>
      </c>
    </row>
    <row r="565" spans="1:11" ht="15">
      <c r="A565" s="13">
        <v>58319</v>
      </c>
      <c r="B565" s="66">
        <f>8.5803 * CHOOSE(CONTROL!$C$23, $C$13, 100%, $E$13)</f>
        <v>8.5802999999999994</v>
      </c>
      <c r="C565" s="66">
        <f>8.5803 * CHOOSE(CONTROL!$C$23, $C$13, 100%, $E$13)</f>
        <v>8.5802999999999994</v>
      </c>
      <c r="D565" s="66">
        <f>8.5858 * CHOOSE(CONTROL!$C$23, $C$13, 100%, $E$13)</f>
        <v>8.5858000000000008</v>
      </c>
      <c r="E565" s="67">
        <f>10.0094 * CHOOSE(CONTROL!$C$23, $C$13, 100%, $E$13)</f>
        <v>10.009399999999999</v>
      </c>
      <c r="F565" s="67">
        <f>10.0094 * CHOOSE(CONTROL!$C$23, $C$13, 100%, $E$13)</f>
        <v>10.009399999999999</v>
      </c>
      <c r="G565" s="67">
        <f>10.0161 * CHOOSE(CONTROL!$C$23, $C$13, 100%, $E$13)</f>
        <v>10.0161</v>
      </c>
      <c r="H565" s="67">
        <f>18.4568* CHOOSE(CONTROL!$C$23, $C$13, 100%, $E$13)</f>
        <v>18.456800000000001</v>
      </c>
      <c r="I565" s="67">
        <f>18.4635 * CHOOSE(CONTROL!$C$23, $C$13, 100%, $E$13)</f>
        <v>18.4635</v>
      </c>
      <c r="J565" s="67">
        <f>10.0094 * CHOOSE(CONTROL!$C$23, $C$13, 100%, $E$13)</f>
        <v>10.009399999999999</v>
      </c>
      <c r="K565" s="67">
        <f>10.0161 * CHOOSE(CONTROL!$C$23, $C$13, 100%, $E$13)</f>
        <v>10.0161</v>
      </c>
    </row>
    <row r="566" spans="1:11" ht="15">
      <c r="A566" s="13">
        <v>58349</v>
      </c>
      <c r="B566" s="66">
        <f>8.5903 * CHOOSE(CONTROL!$C$23, $C$13, 100%, $E$13)</f>
        <v>8.5902999999999992</v>
      </c>
      <c r="C566" s="66">
        <f>8.5903 * CHOOSE(CONTROL!$C$23, $C$13, 100%, $E$13)</f>
        <v>8.5902999999999992</v>
      </c>
      <c r="D566" s="66">
        <f>8.5942 * CHOOSE(CONTROL!$C$23, $C$13, 100%, $E$13)</f>
        <v>8.5942000000000007</v>
      </c>
      <c r="E566" s="67">
        <f>10.0665 * CHOOSE(CONTROL!$C$23, $C$13, 100%, $E$13)</f>
        <v>10.0665</v>
      </c>
      <c r="F566" s="67">
        <f>10.0665 * CHOOSE(CONTROL!$C$23, $C$13, 100%, $E$13)</f>
        <v>10.0665</v>
      </c>
      <c r="G566" s="67">
        <f>10.0712 * CHOOSE(CONTROL!$C$23, $C$13, 100%, $E$13)</f>
        <v>10.071199999999999</v>
      </c>
      <c r="H566" s="67">
        <f>18.4952* CHOOSE(CONTROL!$C$23, $C$13, 100%, $E$13)</f>
        <v>18.495200000000001</v>
      </c>
      <c r="I566" s="67">
        <f>18.5 * CHOOSE(CONTROL!$C$23, $C$13, 100%, $E$13)</f>
        <v>18.5</v>
      </c>
      <c r="J566" s="67">
        <f>10.0665 * CHOOSE(CONTROL!$C$23, $C$13, 100%, $E$13)</f>
        <v>10.0665</v>
      </c>
      <c r="K566" s="67">
        <f>10.0712 * CHOOSE(CONTROL!$C$23, $C$13, 100%, $E$13)</f>
        <v>10.071199999999999</v>
      </c>
    </row>
    <row r="567" spans="1:11" ht="15">
      <c r="A567" s="13">
        <v>58380</v>
      </c>
      <c r="B567" s="66">
        <f>8.5934 * CHOOSE(CONTROL!$C$23, $C$13, 100%, $E$13)</f>
        <v>8.5934000000000008</v>
      </c>
      <c r="C567" s="66">
        <f>8.5934 * CHOOSE(CONTROL!$C$23, $C$13, 100%, $E$13)</f>
        <v>8.5934000000000008</v>
      </c>
      <c r="D567" s="66">
        <f>8.5972 * CHOOSE(CONTROL!$C$23, $C$13, 100%, $E$13)</f>
        <v>8.5972000000000008</v>
      </c>
      <c r="E567" s="67">
        <f>10.1038 * CHOOSE(CONTROL!$C$23, $C$13, 100%, $E$13)</f>
        <v>10.1038</v>
      </c>
      <c r="F567" s="67">
        <f>10.1038 * CHOOSE(CONTROL!$C$23, $C$13, 100%, $E$13)</f>
        <v>10.1038</v>
      </c>
      <c r="G567" s="67">
        <f>10.1086 * CHOOSE(CONTROL!$C$23, $C$13, 100%, $E$13)</f>
        <v>10.108599999999999</v>
      </c>
      <c r="H567" s="67">
        <f>18.5338* CHOOSE(CONTROL!$C$23, $C$13, 100%, $E$13)</f>
        <v>18.533799999999999</v>
      </c>
      <c r="I567" s="67">
        <f>18.5385 * CHOOSE(CONTROL!$C$23, $C$13, 100%, $E$13)</f>
        <v>18.538499999999999</v>
      </c>
      <c r="J567" s="67">
        <f>10.1038 * CHOOSE(CONTROL!$C$23, $C$13, 100%, $E$13)</f>
        <v>10.1038</v>
      </c>
      <c r="K567" s="67">
        <f>10.1086 * CHOOSE(CONTROL!$C$23, $C$13, 100%, $E$13)</f>
        <v>10.108599999999999</v>
      </c>
    </row>
    <row r="568" spans="1:11" ht="15">
      <c r="A568" s="13">
        <v>58410</v>
      </c>
      <c r="B568" s="66">
        <f>8.5934 * CHOOSE(CONTROL!$C$23, $C$13, 100%, $E$13)</f>
        <v>8.5934000000000008</v>
      </c>
      <c r="C568" s="66">
        <f>8.5934 * CHOOSE(CONTROL!$C$23, $C$13, 100%, $E$13)</f>
        <v>8.5934000000000008</v>
      </c>
      <c r="D568" s="66">
        <f>8.5972 * CHOOSE(CONTROL!$C$23, $C$13, 100%, $E$13)</f>
        <v>8.5972000000000008</v>
      </c>
      <c r="E568" s="67">
        <f>10.0157 * CHOOSE(CONTROL!$C$23, $C$13, 100%, $E$13)</f>
        <v>10.015700000000001</v>
      </c>
      <c r="F568" s="67">
        <f>10.0157 * CHOOSE(CONTROL!$C$23, $C$13, 100%, $E$13)</f>
        <v>10.015700000000001</v>
      </c>
      <c r="G568" s="67">
        <f>10.0205 * CHOOSE(CONTROL!$C$23, $C$13, 100%, $E$13)</f>
        <v>10.0205</v>
      </c>
      <c r="H568" s="67">
        <f>18.5724* CHOOSE(CONTROL!$C$23, $C$13, 100%, $E$13)</f>
        <v>18.572399999999998</v>
      </c>
      <c r="I568" s="67">
        <f>18.5771 * CHOOSE(CONTROL!$C$23, $C$13, 100%, $E$13)</f>
        <v>18.577100000000002</v>
      </c>
      <c r="J568" s="67">
        <f>10.0157 * CHOOSE(CONTROL!$C$23, $C$13, 100%, $E$13)</f>
        <v>10.015700000000001</v>
      </c>
      <c r="K568" s="67">
        <f>10.0205 * CHOOSE(CONTROL!$C$23, $C$13, 100%, $E$13)</f>
        <v>10.0205</v>
      </c>
    </row>
    <row r="569" spans="1:11" ht="15">
      <c r="A569" s="13">
        <v>58441</v>
      </c>
      <c r="B569" s="66">
        <f>8.6667 * CHOOSE(CONTROL!$C$23, $C$13, 100%, $E$13)</f>
        <v>8.6667000000000005</v>
      </c>
      <c r="C569" s="66">
        <f>8.6667 * CHOOSE(CONTROL!$C$23, $C$13, 100%, $E$13)</f>
        <v>8.6667000000000005</v>
      </c>
      <c r="D569" s="66">
        <f>8.6706 * CHOOSE(CONTROL!$C$23, $C$13, 100%, $E$13)</f>
        <v>8.6706000000000003</v>
      </c>
      <c r="E569" s="67">
        <f>10.1604 * CHOOSE(CONTROL!$C$23, $C$13, 100%, $E$13)</f>
        <v>10.160399999999999</v>
      </c>
      <c r="F569" s="67">
        <f>10.1604 * CHOOSE(CONTROL!$C$23, $C$13, 100%, $E$13)</f>
        <v>10.160399999999999</v>
      </c>
      <c r="G569" s="67">
        <f>10.1652 * CHOOSE(CONTROL!$C$23, $C$13, 100%, $E$13)</f>
        <v>10.1652</v>
      </c>
      <c r="H569" s="67">
        <f>18.6111* CHOOSE(CONTROL!$C$23, $C$13, 100%, $E$13)</f>
        <v>18.6111</v>
      </c>
      <c r="I569" s="67">
        <f>18.6158 * CHOOSE(CONTROL!$C$23, $C$13, 100%, $E$13)</f>
        <v>18.6158</v>
      </c>
      <c r="J569" s="67">
        <f>10.1604 * CHOOSE(CONTROL!$C$23, $C$13, 100%, $E$13)</f>
        <v>10.160399999999999</v>
      </c>
      <c r="K569" s="67">
        <f>10.1652 * CHOOSE(CONTROL!$C$23, $C$13, 100%, $E$13)</f>
        <v>10.1652</v>
      </c>
    </row>
    <row r="570" spans="1:11" ht="15">
      <c r="A570" s="13">
        <v>58472</v>
      </c>
      <c r="B570" s="66">
        <f>8.6637 * CHOOSE(CONTROL!$C$23, $C$13, 100%, $E$13)</f>
        <v>8.6637000000000004</v>
      </c>
      <c r="C570" s="66">
        <f>8.6637 * CHOOSE(CONTROL!$C$23, $C$13, 100%, $E$13)</f>
        <v>8.6637000000000004</v>
      </c>
      <c r="D570" s="66">
        <f>8.6676 * CHOOSE(CONTROL!$C$23, $C$13, 100%, $E$13)</f>
        <v>8.6676000000000002</v>
      </c>
      <c r="E570" s="67">
        <f>9.9871 * CHOOSE(CONTROL!$C$23, $C$13, 100%, $E$13)</f>
        <v>9.9870999999999999</v>
      </c>
      <c r="F570" s="67">
        <f>9.9871 * CHOOSE(CONTROL!$C$23, $C$13, 100%, $E$13)</f>
        <v>9.9870999999999999</v>
      </c>
      <c r="G570" s="67">
        <f>9.9919 * CHOOSE(CONTROL!$C$23, $C$13, 100%, $E$13)</f>
        <v>9.9918999999999993</v>
      </c>
      <c r="H570" s="67">
        <f>18.6498* CHOOSE(CONTROL!$C$23, $C$13, 100%, $E$13)</f>
        <v>18.649799999999999</v>
      </c>
      <c r="I570" s="67">
        <f>18.6546 * CHOOSE(CONTROL!$C$23, $C$13, 100%, $E$13)</f>
        <v>18.654599999999999</v>
      </c>
      <c r="J570" s="67">
        <f>9.9871 * CHOOSE(CONTROL!$C$23, $C$13, 100%, $E$13)</f>
        <v>9.9870999999999999</v>
      </c>
      <c r="K570" s="67">
        <f>9.9919 * CHOOSE(CONTROL!$C$23, $C$13, 100%, $E$13)</f>
        <v>9.9918999999999993</v>
      </c>
    </row>
    <row r="571" spans="1:11" ht="15">
      <c r="A571" s="13">
        <v>58501</v>
      </c>
      <c r="B571" s="66">
        <f>8.6607 * CHOOSE(CONTROL!$C$23, $C$13, 100%, $E$13)</f>
        <v>8.6607000000000003</v>
      </c>
      <c r="C571" s="66">
        <f>8.6607 * CHOOSE(CONTROL!$C$23, $C$13, 100%, $E$13)</f>
        <v>8.6607000000000003</v>
      </c>
      <c r="D571" s="66">
        <f>8.6645 * CHOOSE(CONTROL!$C$23, $C$13, 100%, $E$13)</f>
        <v>8.6645000000000003</v>
      </c>
      <c r="E571" s="67">
        <f>10.1199 * CHOOSE(CONTROL!$C$23, $C$13, 100%, $E$13)</f>
        <v>10.119899999999999</v>
      </c>
      <c r="F571" s="67">
        <f>10.1199 * CHOOSE(CONTROL!$C$23, $C$13, 100%, $E$13)</f>
        <v>10.119899999999999</v>
      </c>
      <c r="G571" s="67">
        <f>10.1247 * CHOOSE(CONTROL!$C$23, $C$13, 100%, $E$13)</f>
        <v>10.124700000000001</v>
      </c>
      <c r="H571" s="67">
        <f>18.6887* CHOOSE(CONTROL!$C$23, $C$13, 100%, $E$13)</f>
        <v>18.688700000000001</v>
      </c>
      <c r="I571" s="67">
        <f>18.6935 * CHOOSE(CONTROL!$C$23, $C$13, 100%, $E$13)</f>
        <v>18.6935</v>
      </c>
      <c r="J571" s="67">
        <f>10.1199 * CHOOSE(CONTROL!$C$23, $C$13, 100%, $E$13)</f>
        <v>10.119899999999999</v>
      </c>
      <c r="K571" s="67">
        <f>10.1247 * CHOOSE(CONTROL!$C$23, $C$13, 100%, $E$13)</f>
        <v>10.124700000000001</v>
      </c>
    </row>
    <row r="572" spans="1:11" ht="15">
      <c r="A572" s="13">
        <v>58532</v>
      </c>
      <c r="B572" s="66">
        <f>8.6623 * CHOOSE(CONTROL!$C$23, $C$13, 100%, $E$13)</f>
        <v>8.6623000000000001</v>
      </c>
      <c r="C572" s="66">
        <f>8.6623 * CHOOSE(CONTROL!$C$23, $C$13, 100%, $E$13)</f>
        <v>8.6623000000000001</v>
      </c>
      <c r="D572" s="66">
        <f>8.6661 * CHOOSE(CONTROL!$C$23, $C$13, 100%, $E$13)</f>
        <v>8.6661000000000001</v>
      </c>
      <c r="E572" s="67">
        <f>10.2606 * CHOOSE(CONTROL!$C$23, $C$13, 100%, $E$13)</f>
        <v>10.2606</v>
      </c>
      <c r="F572" s="67">
        <f>10.2606 * CHOOSE(CONTROL!$C$23, $C$13, 100%, $E$13)</f>
        <v>10.2606</v>
      </c>
      <c r="G572" s="67">
        <f>10.2654 * CHOOSE(CONTROL!$C$23, $C$13, 100%, $E$13)</f>
        <v>10.2654</v>
      </c>
      <c r="H572" s="67">
        <f>18.7276* CHOOSE(CONTROL!$C$23, $C$13, 100%, $E$13)</f>
        <v>18.727599999999999</v>
      </c>
      <c r="I572" s="67">
        <f>18.7324 * CHOOSE(CONTROL!$C$23, $C$13, 100%, $E$13)</f>
        <v>18.732399999999998</v>
      </c>
      <c r="J572" s="67">
        <f>10.2606 * CHOOSE(CONTROL!$C$23, $C$13, 100%, $E$13)</f>
        <v>10.2606</v>
      </c>
      <c r="K572" s="67">
        <f>10.2654 * CHOOSE(CONTROL!$C$23, $C$13, 100%, $E$13)</f>
        <v>10.2654</v>
      </c>
    </row>
    <row r="573" spans="1:11" ht="15">
      <c r="A573" s="13">
        <v>58562</v>
      </c>
      <c r="B573" s="66">
        <f>8.6623 * CHOOSE(CONTROL!$C$23, $C$13, 100%, $E$13)</f>
        <v>8.6623000000000001</v>
      </c>
      <c r="C573" s="66">
        <f>8.6623 * CHOOSE(CONTROL!$C$23, $C$13, 100%, $E$13)</f>
        <v>8.6623000000000001</v>
      </c>
      <c r="D573" s="66">
        <f>8.6678 * CHOOSE(CONTROL!$C$23, $C$13, 100%, $E$13)</f>
        <v>8.6677999999999997</v>
      </c>
      <c r="E573" s="67">
        <f>10.315 * CHOOSE(CONTROL!$C$23, $C$13, 100%, $E$13)</f>
        <v>10.315</v>
      </c>
      <c r="F573" s="67">
        <f>10.315 * CHOOSE(CONTROL!$C$23, $C$13, 100%, $E$13)</f>
        <v>10.315</v>
      </c>
      <c r="G573" s="67">
        <f>10.3217 * CHOOSE(CONTROL!$C$23, $C$13, 100%, $E$13)</f>
        <v>10.3217</v>
      </c>
      <c r="H573" s="67">
        <f>18.7666* CHOOSE(CONTROL!$C$23, $C$13, 100%, $E$13)</f>
        <v>18.7666</v>
      </c>
      <c r="I573" s="67">
        <f>18.7734 * CHOOSE(CONTROL!$C$23, $C$13, 100%, $E$13)</f>
        <v>18.773399999999999</v>
      </c>
      <c r="J573" s="67">
        <f>10.315 * CHOOSE(CONTROL!$C$23, $C$13, 100%, $E$13)</f>
        <v>10.315</v>
      </c>
      <c r="K573" s="67">
        <f>10.3217 * CHOOSE(CONTROL!$C$23, $C$13, 100%, $E$13)</f>
        <v>10.3217</v>
      </c>
    </row>
    <row r="574" spans="1:11" ht="15">
      <c r="A574" s="13">
        <v>58593</v>
      </c>
      <c r="B574" s="66">
        <f>8.6684 * CHOOSE(CONTROL!$C$23, $C$13, 100%, $E$13)</f>
        <v>8.6684000000000001</v>
      </c>
      <c r="C574" s="66">
        <f>8.6684 * CHOOSE(CONTROL!$C$23, $C$13, 100%, $E$13)</f>
        <v>8.6684000000000001</v>
      </c>
      <c r="D574" s="66">
        <f>8.6739 * CHOOSE(CONTROL!$C$23, $C$13, 100%, $E$13)</f>
        <v>8.6738999999999997</v>
      </c>
      <c r="E574" s="67">
        <f>10.2649 * CHOOSE(CONTROL!$C$23, $C$13, 100%, $E$13)</f>
        <v>10.264900000000001</v>
      </c>
      <c r="F574" s="67">
        <f>10.2649 * CHOOSE(CONTROL!$C$23, $C$13, 100%, $E$13)</f>
        <v>10.264900000000001</v>
      </c>
      <c r="G574" s="67">
        <f>10.2716 * CHOOSE(CONTROL!$C$23, $C$13, 100%, $E$13)</f>
        <v>10.271599999999999</v>
      </c>
      <c r="H574" s="67">
        <f>18.8057* CHOOSE(CONTROL!$C$23, $C$13, 100%, $E$13)</f>
        <v>18.805700000000002</v>
      </c>
      <c r="I574" s="67">
        <f>18.8125 * CHOOSE(CONTROL!$C$23, $C$13, 100%, $E$13)</f>
        <v>18.8125</v>
      </c>
      <c r="J574" s="67">
        <f>10.2649 * CHOOSE(CONTROL!$C$23, $C$13, 100%, $E$13)</f>
        <v>10.264900000000001</v>
      </c>
      <c r="K574" s="67">
        <f>10.2716 * CHOOSE(CONTROL!$C$23, $C$13, 100%, $E$13)</f>
        <v>10.271599999999999</v>
      </c>
    </row>
    <row r="575" spans="1:11" ht="15">
      <c r="A575" s="13">
        <v>58623</v>
      </c>
      <c r="B575" s="66">
        <f>8.8035 * CHOOSE(CONTROL!$C$23, $C$13, 100%, $E$13)</f>
        <v>8.8034999999999997</v>
      </c>
      <c r="C575" s="66">
        <f>8.8035 * CHOOSE(CONTROL!$C$23, $C$13, 100%, $E$13)</f>
        <v>8.8034999999999997</v>
      </c>
      <c r="D575" s="66">
        <f>8.809 * CHOOSE(CONTROL!$C$23, $C$13, 100%, $E$13)</f>
        <v>8.8089999999999993</v>
      </c>
      <c r="E575" s="67">
        <f>10.4324 * CHOOSE(CONTROL!$C$23, $C$13, 100%, $E$13)</f>
        <v>10.432399999999999</v>
      </c>
      <c r="F575" s="67">
        <f>10.4324 * CHOOSE(CONTROL!$C$23, $C$13, 100%, $E$13)</f>
        <v>10.432399999999999</v>
      </c>
      <c r="G575" s="67">
        <f>10.4391 * CHOOSE(CONTROL!$C$23, $C$13, 100%, $E$13)</f>
        <v>10.4391</v>
      </c>
      <c r="H575" s="67">
        <f>18.8449* CHOOSE(CONTROL!$C$23, $C$13, 100%, $E$13)</f>
        <v>18.844899999999999</v>
      </c>
      <c r="I575" s="67">
        <f>18.8517 * CHOOSE(CONTROL!$C$23, $C$13, 100%, $E$13)</f>
        <v>18.851700000000001</v>
      </c>
      <c r="J575" s="67">
        <f>10.4324 * CHOOSE(CONTROL!$C$23, $C$13, 100%, $E$13)</f>
        <v>10.432399999999999</v>
      </c>
      <c r="K575" s="67">
        <f>10.4391 * CHOOSE(CONTROL!$C$23, $C$13, 100%, $E$13)</f>
        <v>10.4391</v>
      </c>
    </row>
    <row r="576" spans="1:11" ht="15">
      <c r="A576" s="13">
        <v>58654</v>
      </c>
      <c r="B576" s="66">
        <f>8.8102 * CHOOSE(CONTROL!$C$23, $C$13, 100%, $E$13)</f>
        <v>8.8102</v>
      </c>
      <c r="C576" s="66">
        <f>8.8102 * CHOOSE(CONTROL!$C$23, $C$13, 100%, $E$13)</f>
        <v>8.8102</v>
      </c>
      <c r="D576" s="66">
        <f>8.8157 * CHOOSE(CONTROL!$C$23, $C$13, 100%, $E$13)</f>
        <v>8.8156999999999996</v>
      </c>
      <c r="E576" s="67">
        <f>10.274 * CHOOSE(CONTROL!$C$23, $C$13, 100%, $E$13)</f>
        <v>10.273999999999999</v>
      </c>
      <c r="F576" s="67">
        <f>10.274 * CHOOSE(CONTROL!$C$23, $C$13, 100%, $E$13)</f>
        <v>10.273999999999999</v>
      </c>
      <c r="G576" s="67">
        <f>10.2808 * CHOOSE(CONTROL!$C$23, $C$13, 100%, $E$13)</f>
        <v>10.280799999999999</v>
      </c>
      <c r="H576" s="67">
        <f>18.8842* CHOOSE(CONTROL!$C$23, $C$13, 100%, $E$13)</f>
        <v>18.8842</v>
      </c>
      <c r="I576" s="67">
        <f>18.8909 * CHOOSE(CONTROL!$C$23, $C$13, 100%, $E$13)</f>
        <v>18.890899999999998</v>
      </c>
      <c r="J576" s="67">
        <f>10.274 * CHOOSE(CONTROL!$C$23, $C$13, 100%, $E$13)</f>
        <v>10.273999999999999</v>
      </c>
      <c r="K576" s="67">
        <f>10.2808 * CHOOSE(CONTROL!$C$23, $C$13, 100%, $E$13)</f>
        <v>10.280799999999999</v>
      </c>
    </row>
    <row r="577" spans="1:11" ht="15">
      <c r="A577" s="13">
        <v>58685</v>
      </c>
      <c r="B577" s="66">
        <f>8.8072 * CHOOSE(CONTROL!$C$23, $C$13, 100%, $E$13)</f>
        <v>8.8071999999999999</v>
      </c>
      <c r="C577" s="66">
        <f>8.8072 * CHOOSE(CONTROL!$C$23, $C$13, 100%, $E$13)</f>
        <v>8.8071999999999999</v>
      </c>
      <c r="D577" s="66">
        <f>8.8127 * CHOOSE(CONTROL!$C$23, $C$13, 100%, $E$13)</f>
        <v>8.8126999999999995</v>
      </c>
      <c r="E577" s="67">
        <f>10.2538 * CHOOSE(CONTROL!$C$23, $C$13, 100%, $E$13)</f>
        <v>10.2538</v>
      </c>
      <c r="F577" s="67">
        <f>10.2538 * CHOOSE(CONTROL!$C$23, $C$13, 100%, $E$13)</f>
        <v>10.2538</v>
      </c>
      <c r="G577" s="67">
        <f>10.2605 * CHOOSE(CONTROL!$C$23, $C$13, 100%, $E$13)</f>
        <v>10.2605</v>
      </c>
      <c r="H577" s="67">
        <f>18.9235* CHOOSE(CONTROL!$C$23, $C$13, 100%, $E$13)</f>
        <v>18.923500000000001</v>
      </c>
      <c r="I577" s="67">
        <f>18.9303 * CHOOSE(CONTROL!$C$23, $C$13, 100%, $E$13)</f>
        <v>18.930299999999999</v>
      </c>
      <c r="J577" s="67">
        <f>10.2538 * CHOOSE(CONTROL!$C$23, $C$13, 100%, $E$13)</f>
        <v>10.2538</v>
      </c>
      <c r="K577" s="67">
        <f>10.2605 * CHOOSE(CONTROL!$C$23, $C$13, 100%, $E$13)</f>
        <v>10.2605</v>
      </c>
    </row>
    <row r="578" spans="1:11" ht="15">
      <c r="A578" s="13">
        <v>58715</v>
      </c>
      <c r="B578" s="66">
        <f>8.8179 * CHOOSE(CONTROL!$C$23, $C$13, 100%, $E$13)</f>
        <v>8.8178999999999998</v>
      </c>
      <c r="C578" s="66">
        <f>8.8179 * CHOOSE(CONTROL!$C$23, $C$13, 100%, $E$13)</f>
        <v>8.8178999999999998</v>
      </c>
      <c r="D578" s="66">
        <f>8.8218 * CHOOSE(CONTROL!$C$23, $C$13, 100%, $E$13)</f>
        <v>8.8217999999999996</v>
      </c>
      <c r="E578" s="67">
        <f>10.3128 * CHOOSE(CONTROL!$C$23, $C$13, 100%, $E$13)</f>
        <v>10.312799999999999</v>
      </c>
      <c r="F578" s="67">
        <f>10.3128 * CHOOSE(CONTROL!$C$23, $C$13, 100%, $E$13)</f>
        <v>10.312799999999999</v>
      </c>
      <c r="G578" s="67">
        <f>10.3176 * CHOOSE(CONTROL!$C$23, $C$13, 100%, $E$13)</f>
        <v>10.317600000000001</v>
      </c>
      <c r="H578" s="67">
        <f>18.9629* CHOOSE(CONTROL!$C$23, $C$13, 100%, $E$13)</f>
        <v>18.962900000000001</v>
      </c>
      <c r="I578" s="67">
        <f>18.9677 * CHOOSE(CONTROL!$C$23, $C$13, 100%, $E$13)</f>
        <v>18.967700000000001</v>
      </c>
      <c r="J578" s="67">
        <f>10.3128 * CHOOSE(CONTROL!$C$23, $C$13, 100%, $E$13)</f>
        <v>10.312799999999999</v>
      </c>
      <c r="K578" s="67">
        <f>10.3176 * CHOOSE(CONTROL!$C$23, $C$13, 100%, $E$13)</f>
        <v>10.317600000000001</v>
      </c>
    </row>
    <row r="579" spans="1:11" ht="15">
      <c r="A579" s="13">
        <v>58746</v>
      </c>
      <c r="B579" s="66">
        <f>8.821 * CHOOSE(CONTROL!$C$23, $C$13, 100%, $E$13)</f>
        <v>8.8209999999999997</v>
      </c>
      <c r="C579" s="66">
        <f>8.821 * CHOOSE(CONTROL!$C$23, $C$13, 100%, $E$13)</f>
        <v>8.8209999999999997</v>
      </c>
      <c r="D579" s="66">
        <f>8.8248 * CHOOSE(CONTROL!$C$23, $C$13, 100%, $E$13)</f>
        <v>8.8247999999999998</v>
      </c>
      <c r="E579" s="67">
        <f>10.3512 * CHOOSE(CONTROL!$C$23, $C$13, 100%, $E$13)</f>
        <v>10.3512</v>
      </c>
      <c r="F579" s="67">
        <f>10.3512 * CHOOSE(CONTROL!$C$23, $C$13, 100%, $E$13)</f>
        <v>10.3512</v>
      </c>
      <c r="G579" s="67">
        <f>10.3559 * CHOOSE(CONTROL!$C$23, $C$13, 100%, $E$13)</f>
        <v>10.3559</v>
      </c>
      <c r="H579" s="67">
        <f>19.0024* CHOOSE(CONTROL!$C$23, $C$13, 100%, $E$13)</f>
        <v>19.002400000000002</v>
      </c>
      <c r="I579" s="67">
        <f>19.0072 * CHOOSE(CONTROL!$C$23, $C$13, 100%, $E$13)</f>
        <v>19.007200000000001</v>
      </c>
      <c r="J579" s="67">
        <f>10.3512 * CHOOSE(CONTROL!$C$23, $C$13, 100%, $E$13)</f>
        <v>10.3512</v>
      </c>
      <c r="K579" s="67">
        <f>10.3559 * CHOOSE(CONTROL!$C$23, $C$13, 100%, $E$13)</f>
        <v>10.3559</v>
      </c>
    </row>
    <row r="580" spans="1:11" ht="15">
      <c r="A580" s="13">
        <v>58776</v>
      </c>
      <c r="B580" s="66">
        <f>8.821 * CHOOSE(CONTROL!$C$23, $C$13, 100%, $E$13)</f>
        <v>8.8209999999999997</v>
      </c>
      <c r="C580" s="66">
        <f>8.821 * CHOOSE(CONTROL!$C$23, $C$13, 100%, $E$13)</f>
        <v>8.8209999999999997</v>
      </c>
      <c r="D580" s="66">
        <f>8.8248 * CHOOSE(CONTROL!$C$23, $C$13, 100%, $E$13)</f>
        <v>8.8247999999999998</v>
      </c>
      <c r="E580" s="67">
        <f>10.2606 * CHOOSE(CONTROL!$C$23, $C$13, 100%, $E$13)</f>
        <v>10.2606</v>
      </c>
      <c r="F580" s="67">
        <f>10.2606 * CHOOSE(CONTROL!$C$23, $C$13, 100%, $E$13)</f>
        <v>10.2606</v>
      </c>
      <c r="G580" s="67">
        <f>10.2654 * CHOOSE(CONTROL!$C$23, $C$13, 100%, $E$13)</f>
        <v>10.2654</v>
      </c>
      <c r="H580" s="67">
        <f>19.042* CHOOSE(CONTROL!$C$23, $C$13, 100%, $E$13)</f>
        <v>19.042000000000002</v>
      </c>
      <c r="I580" s="67">
        <f>19.0468 * CHOOSE(CONTROL!$C$23, $C$13, 100%, $E$13)</f>
        <v>19.046800000000001</v>
      </c>
      <c r="J580" s="67">
        <f>10.2606 * CHOOSE(CONTROL!$C$23, $C$13, 100%, $E$13)</f>
        <v>10.2606</v>
      </c>
      <c r="K580" s="67">
        <f>10.2654 * CHOOSE(CONTROL!$C$23, $C$13, 100%, $E$13)</f>
        <v>10.2654</v>
      </c>
    </row>
    <row r="581" spans="1:11" ht="15">
      <c r="A581" s="13">
        <v>58807</v>
      </c>
      <c r="B581" s="66">
        <f>8.8962 * CHOOSE(CONTROL!$C$23, $C$13, 100%, $E$13)</f>
        <v>8.8962000000000003</v>
      </c>
      <c r="C581" s="66">
        <f>8.8962 * CHOOSE(CONTROL!$C$23, $C$13, 100%, $E$13)</f>
        <v>8.8962000000000003</v>
      </c>
      <c r="D581" s="66">
        <f>8.9 * CHOOSE(CONTROL!$C$23, $C$13, 100%, $E$13)</f>
        <v>8.9</v>
      </c>
      <c r="E581" s="67">
        <f>10.409 * CHOOSE(CONTROL!$C$23, $C$13, 100%, $E$13)</f>
        <v>10.409000000000001</v>
      </c>
      <c r="F581" s="67">
        <f>10.409 * CHOOSE(CONTROL!$C$23, $C$13, 100%, $E$13)</f>
        <v>10.409000000000001</v>
      </c>
      <c r="G581" s="67">
        <f>10.4138 * CHOOSE(CONTROL!$C$23, $C$13, 100%, $E$13)</f>
        <v>10.4138</v>
      </c>
      <c r="H581" s="67">
        <f>19.0817* CHOOSE(CONTROL!$C$23, $C$13, 100%, $E$13)</f>
        <v>19.081700000000001</v>
      </c>
      <c r="I581" s="67">
        <f>19.0865 * CHOOSE(CONTROL!$C$23, $C$13, 100%, $E$13)</f>
        <v>19.086500000000001</v>
      </c>
      <c r="J581" s="67">
        <f>10.409 * CHOOSE(CONTROL!$C$23, $C$13, 100%, $E$13)</f>
        <v>10.409000000000001</v>
      </c>
      <c r="K581" s="67">
        <f>10.4138 * CHOOSE(CONTROL!$C$23, $C$13, 100%, $E$13)</f>
        <v>10.4138</v>
      </c>
    </row>
    <row r="582" spans="1:11" ht="15">
      <c r="A582" s="13">
        <v>58838</v>
      </c>
      <c r="B582" s="66">
        <f>8.8931 * CHOOSE(CONTROL!$C$23, $C$13, 100%, $E$13)</f>
        <v>8.8931000000000004</v>
      </c>
      <c r="C582" s="66">
        <f>8.8931 * CHOOSE(CONTROL!$C$23, $C$13, 100%, $E$13)</f>
        <v>8.8931000000000004</v>
      </c>
      <c r="D582" s="66">
        <f>8.897 * CHOOSE(CONTROL!$C$23, $C$13, 100%, $E$13)</f>
        <v>8.8970000000000002</v>
      </c>
      <c r="E582" s="67">
        <f>10.2309 * CHOOSE(CONTROL!$C$23, $C$13, 100%, $E$13)</f>
        <v>10.2309</v>
      </c>
      <c r="F582" s="67">
        <f>10.2309 * CHOOSE(CONTROL!$C$23, $C$13, 100%, $E$13)</f>
        <v>10.2309</v>
      </c>
      <c r="G582" s="67">
        <f>10.2357 * CHOOSE(CONTROL!$C$23, $C$13, 100%, $E$13)</f>
        <v>10.2357</v>
      </c>
      <c r="H582" s="67">
        <f>19.1215* CHOOSE(CONTROL!$C$23, $C$13, 100%, $E$13)</f>
        <v>19.121500000000001</v>
      </c>
      <c r="I582" s="67">
        <f>19.1262 * CHOOSE(CONTROL!$C$23, $C$13, 100%, $E$13)</f>
        <v>19.126200000000001</v>
      </c>
      <c r="J582" s="67">
        <f>10.2309 * CHOOSE(CONTROL!$C$23, $C$13, 100%, $E$13)</f>
        <v>10.2309</v>
      </c>
      <c r="K582" s="67">
        <f>10.2357 * CHOOSE(CONTROL!$C$23, $C$13, 100%, $E$13)</f>
        <v>10.2357</v>
      </c>
    </row>
    <row r="583" spans="1:11" ht="15">
      <c r="A583" s="13">
        <v>58866</v>
      </c>
      <c r="B583" s="66">
        <f>8.8901 * CHOOSE(CONTROL!$C$23, $C$13, 100%, $E$13)</f>
        <v>8.8901000000000003</v>
      </c>
      <c r="C583" s="66">
        <f>8.8901 * CHOOSE(CONTROL!$C$23, $C$13, 100%, $E$13)</f>
        <v>8.8901000000000003</v>
      </c>
      <c r="D583" s="66">
        <f>8.894 * CHOOSE(CONTROL!$C$23, $C$13, 100%, $E$13)</f>
        <v>8.8940000000000001</v>
      </c>
      <c r="E583" s="67">
        <f>10.3675 * CHOOSE(CONTROL!$C$23, $C$13, 100%, $E$13)</f>
        <v>10.3675</v>
      </c>
      <c r="F583" s="67">
        <f>10.3675 * CHOOSE(CONTROL!$C$23, $C$13, 100%, $E$13)</f>
        <v>10.3675</v>
      </c>
      <c r="G583" s="67">
        <f>10.3723 * CHOOSE(CONTROL!$C$23, $C$13, 100%, $E$13)</f>
        <v>10.372299999999999</v>
      </c>
      <c r="H583" s="67">
        <f>19.1613* CHOOSE(CONTROL!$C$23, $C$13, 100%, $E$13)</f>
        <v>19.161300000000001</v>
      </c>
      <c r="I583" s="67">
        <f>19.1661 * CHOOSE(CONTROL!$C$23, $C$13, 100%, $E$13)</f>
        <v>19.1661</v>
      </c>
      <c r="J583" s="67">
        <f>10.3675 * CHOOSE(CONTROL!$C$23, $C$13, 100%, $E$13)</f>
        <v>10.3675</v>
      </c>
      <c r="K583" s="67">
        <f>10.3723 * CHOOSE(CONTROL!$C$23, $C$13, 100%, $E$13)</f>
        <v>10.372299999999999</v>
      </c>
    </row>
    <row r="584" spans="1:11" ht="15">
      <c r="A584" s="13">
        <v>58897</v>
      </c>
      <c r="B584" s="66">
        <f>8.8919 * CHOOSE(CONTROL!$C$23, $C$13, 100%, $E$13)</f>
        <v>8.8918999999999997</v>
      </c>
      <c r="C584" s="66">
        <f>8.8919 * CHOOSE(CONTROL!$C$23, $C$13, 100%, $E$13)</f>
        <v>8.8918999999999997</v>
      </c>
      <c r="D584" s="66">
        <f>8.8958 * CHOOSE(CONTROL!$C$23, $C$13, 100%, $E$13)</f>
        <v>8.8957999999999995</v>
      </c>
      <c r="E584" s="67">
        <f>10.5123 * CHOOSE(CONTROL!$C$23, $C$13, 100%, $E$13)</f>
        <v>10.5123</v>
      </c>
      <c r="F584" s="67">
        <f>10.5123 * CHOOSE(CONTROL!$C$23, $C$13, 100%, $E$13)</f>
        <v>10.5123</v>
      </c>
      <c r="G584" s="67">
        <f>10.517 * CHOOSE(CONTROL!$C$23, $C$13, 100%, $E$13)</f>
        <v>10.516999999999999</v>
      </c>
      <c r="H584" s="67">
        <f>19.2012* CHOOSE(CONTROL!$C$23, $C$13, 100%, $E$13)</f>
        <v>19.2012</v>
      </c>
      <c r="I584" s="67">
        <f>19.206 * CHOOSE(CONTROL!$C$23, $C$13, 100%, $E$13)</f>
        <v>19.206</v>
      </c>
      <c r="J584" s="67">
        <f>10.5123 * CHOOSE(CONTROL!$C$23, $C$13, 100%, $E$13)</f>
        <v>10.5123</v>
      </c>
      <c r="K584" s="67">
        <f>10.517 * CHOOSE(CONTROL!$C$23, $C$13, 100%, $E$13)</f>
        <v>10.516999999999999</v>
      </c>
    </row>
    <row r="585" spans="1:11" ht="15">
      <c r="A585" s="13">
        <v>58927</v>
      </c>
      <c r="B585" s="66">
        <f>8.8919 * CHOOSE(CONTROL!$C$23, $C$13, 100%, $E$13)</f>
        <v>8.8918999999999997</v>
      </c>
      <c r="C585" s="66">
        <f>8.8919 * CHOOSE(CONTROL!$C$23, $C$13, 100%, $E$13)</f>
        <v>8.8918999999999997</v>
      </c>
      <c r="D585" s="66">
        <f>8.8974 * CHOOSE(CONTROL!$C$23, $C$13, 100%, $E$13)</f>
        <v>8.8973999999999993</v>
      </c>
      <c r="E585" s="67">
        <f>10.5681 * CHOOSE(CONTROL!$C$23, $C$13, 100%, $E$13)</f>
        <v>10.568099999999999</v>
      </c>
      <c r="F585" s="67">
        <f>10.5681 * CHOOSE(CONTROL!$C$23, $C$13, 100%, $E$13)</f>
        <v>10.568099999999999</v>
      </c>
      <c r="G585" s="67">
        <f>10.5749 * CHOOSE(CONTROL!$C$23, $C$13, 100%, $E$13)</f>
        <v>10.5749</v>
      </c>
      <c r="H585" s="67">
        <f>19.2412* CHOOSE(CONTROL!$C$23, $C$13, 100%, $E$13)</f>
        <v>19.241199999999999</v>
      </c>
      <c r="I585" s="67">
        <f>19.248 * CHOOSE(CONTROL!$C$23, $C$13, 100%, $E$13)</f>
        <v>19.248000000000001</v>
      </c>
      <c r="J585" s="67">
        <f>10.5681 * CHOOSE(CONTROL!$C$23, $C$13, 100%, $E$13)</f>
        <v>10.568099999999999</v>
      </c>
      <c r="K585" s="67">
        <f>10.5749 * CHOOSE(CONTROL!$C$23, $C$13, 100%, $E$13)</f>
        <v>10.5749</v>
      </c>
    </row>
    <row r="586" spans="1:11" ht="15">
      <c r="A586" s="13">
        <v>58958</v>
      </c>
      <c r="B586" s="66">
        <f>8.898 * CHOOSE(CONTROL!$C$23, $C$13, 100%, $E$13)</f>
        <v>8.8979999999999997</v>
      </c>
      <c r="C586" s="66">
        <f>8.898 * CHOOSE(CONTROL!$C$23, $C$13, 100%, $E$13)</f>
        <v>8.8979999999999997</v>
      </c>
      <c r="D586" s="66">
        <f>8.9035 * CHOOSE(CONTROL!$C$23, $C$13, 100%, $E$13)</f>
        <v>8.9034999999999993</v>
      </c>
      <c r="E586" s="67">
        <f>10.5165 * CHOOSE(CONTROL!$C$23, $C$13, 100%, $E$13)</f>
        <v>10.516500000000001</v>
      </c>
      <c r="F586" s="67">
        <f>10.5165 * CHOOSE(CONTROL!$C$23, $C$13, 100%, $E$13)</f>
        <v>10.516500000000001</v>
      </c>
      <c r="G586" s="67">
        <f>10.5233 * CHOOSE(CONTROL!$C$23, $C$13, 100%, $E$13)</f>
        <v>10.523300000000001</v>
      </c>
      <c r="H586" s="67">
        <f>19.2813* CHOOSE(CONTROL!$C$23, $C$13, 100%, $E$13)</f>
        <v>19.281300000000002</v>
      </c>
      <c r="I586" s="67">
        <f>19.288 * CHOOSE(CONTROL!$C$23, $C$13, 100%, $E$13)</f>
        <v>19.288</v>
      </c>
      <c r="J586" s="67">
        <f>10.5165 * CHOOSE(CONTROL!$C$23, $C$13, 100%, $E$13)</f>
        <v>10.516500000000001</v>
      </c>
      <c r="K586" s="67">
        <f>10.5233 * CHOOSE(CONTROL!$C$23, $C$13, 100%, $E$13)</f>
        <v>10.523300000000001</v>
      </c>
    </row>
    <row r="587" spans="1:11" ht="15">
      <c r="A587" s="13">
        <v>58988</v>
      </c>
      <c r="B587" s="66">
        <f>9.0365 * CHOOSE(CONTROL!$C$23, $C$13, 100%, $E$13)</f>
        <v>9.0365000000000002</v>
      </c>
      <c r="C587" s="66">
        <f>9.0365 * CHOOSE(CONTROL!$C$23, $C$13, 100%, $E$13)</f>
        <v>9.0365000000000002</v>
      </c>
      <c r="D587" s="66">
        <f>9.042 * CHOOSE(CONTROL!$C$23, $C$13, 100%, $E$13)</f>
        <v>9.0419999999999998</v>
      </c>
      <c r="E587" s="67">
        <f>10.6879 * CHOOSE(CONTROL!$C$23, $C$13, 100%, $E$13)</f>
        <v>10.687900000000001</v>
      </c>
      <c r="F587" s="67">
        <f>10.6879 * CHOOSE(CONTROL!$C$23, $C$13, 100%, $E$13)</f>
        <v>10.687900000000001</v>
      </c>
      <c r="G587" s="67">
        <f>10.6946 * CHOOSE(CONTROL!$C$23, $C$13, 100%, $E$13)</f>
        <v>10.694599999999999</v>
      </c>
      <c r="H587" s="67">
        <f>19.3215* CHOOSE(CONTROL!$C$23, $C$13, 100%, $E$13)</f>
        <v>19.3215</v>
      </c>
      <c r="I587" s="67">
        <f>19.3282 * CHOOSE(CONTROL!$C$23, $C$13, 100%, $E$13)</f>
        <v>19.328199999999999</v>
      </c>
      <c r="J587" s="67">
        <f>10.6879 * CHOOSE(CONTROL!$C$23, $C$13, 100%, $E$13)</f>
        <v>10.687900000000001</v>
      </c>
      <c r="K587" s="67">
        <f>10.6946 * CHOOSE(CONTROL!$C$23, $C$13, 100%, $E$13)</f>
        <v>10.694599999999999</v>
      </c>
    </row>
    <row r="588" spans="1:11" ht="15">
      <c r="A588" s="13">
        <v>59019</v>
      </c>
      <c r="B588" s="66">
        <f>9.0432 * CHOOSE(CONTROL!$C$23, $C$13, 100%, $E$13)</f>
        <v>9.0432000000000006</v>
      </c>
      <c r="C588" s="66">
        <f>9.0432 * CHOOSE(CONTROL!$C$23, $C$13, 100%, $E$13)</f>
        <v>9.0432000000000006</v>
      </c>
      <c r="D588" s="66">
        <f>9.0487 * CHOOSE(CONTROL!$C$23, $C$13, 100%, $E$13)</f>
        <v>9.0487000000000002</v>
      </c>
      <c r="E588" s="67">
        <f>10.5249 * CHOOSE(CONTROL!$C$23, $C$13, 100%, $E$13)</f>
        <v>10.524900000000001</v>
      </c>
      <c r="F588" s="67">
        <f>10.5249 * CHOOSE(CONTROL!$C$23, $C$13, 100%, $E$13)</f>
        <v>10.524900000000001</v>
      </c>
      <c r="G588" s="67">
        <f>10.5317 * CHOOSE(CONTROL!$C$23, $C$13, 100%, $E$13)</f>
        <v>10.531700000000001</v>
      </c>
      <c r="H588" s="67">
        <f>19.3617* CHOOSE(CONTROL!$C$23, $C$13, 100%, $E$13)</f>
        <v>19.361699999999999</v>
      </c>
      <c r="I588" s="67">
        <f>19.3685 * CHOOSE(CONTROL!$C$23, $C$13, 100%, $E$13)</f>
        <v>19.368500000000001</v>
      </c>
      <c r="J588" s="67">
        <f>10.5249 * CHOOSE(CONTROL!$C$23, $C$13, 100%, $E$13)</f>
        <v>10.524900000000001</v>
      </c>
      <c r="K588" s="67">
        <f>10.5317 * CHOOSE(CONTROL!$C$23, $C$13, 100%, $E$13)</f>
        <v>10.531700000000001</v>
      </c>
    </row>
    <row r="589" spans="1:11" ht="15">
      <c r="A589" s="13">
        <v>59050</v>
      </c>
      <c r="B589" s="66">
        <f>9.0401 * CHOOSE(CONTROL!$C$23, $C$13, 100%, $E$13)</f>
        <v>9.0401000000000007</v>
      </c>
      <c r="C589" s="66">
        <f>9.0401 * CHOOSE(CONTROL!$C$23, $C$13, 100%, $E$13)</f>
        <v>9.0401000000000007</v>
      </c>
      <c r="D589" s="66">
        <f>9.0456 * CHOOSE(CONTROL!$C$23, $C$13, 100%, $E$13)</f>
        <v>9.0456000000000003</v>
      </c>
      <c r="E589" s="67">
        <f>10.5042 * CHOOSE(CONTROL!$C$23, $C$13, 100%, $E$13)</f>
        <v>10.504200000000001</v>
      </c>
      <c r="F589" s="67">
        <f>10.5042 * CHOOSE(CONTROL!$C$23, $C$13, 100%, $E$13)</f>
        <v>10.504200000000001</v>
      </c>
      <c r="G589" s="67">
        <f>10.5109 * CHOOSE(CONTROL!$C$23, $C$13, 100%, $E$13)</f>
        <v>10.510899999999999</v>
      </c>
      <c r="H589" s="67">
        <f>19.4021* CHOOSE(CONTROL!$C$23, $C$13, 100%, $E$13)</f>
        <v>19.402100000000001</v>
      </c>
      <c r="I589" s="67">
        <f>19.4088 * CHOOSE(CONTROL!$C$23, $C$13, 100%, $E$13)</f>
        <v>19.408799999999999</v>
      </c>
      <c r="J589" s="67">
        <f>10.5042 * CHOOSE(CONTROL!$C$23, $C$13, 100%, $E$13)</f>
        <v>10.504200000000001</v>
      </c>
      <c r="K589" s="67">
        <f>10.5109 * CHOOSE(CONTROL!$C$23, $C$13, 100%, $E$13)</f>
        <v>10.510899999999999</v>
      </c>
    </row>
    <row r="590" spans="1:11" ht="15">
      <c r="A590" s="13">
        <v>59080</v>
      </c>
      <c r="B590" s="66">
        <f>9.0516 * CHOOSE(CONTROL!$C$23, $C$13, 100%, $E$13)</f>
        <v>9.0516000000000005</v>
      </c>
      <c r="C590" s="66">
        <f>9.0516 * CHOOSE(CONTROL!$C$23, $C$13, 100%, $E$13)</f>
        <v>9.0516000000000005</v>
      </c>
      <c r="D590" s="66">
        <f>9.0555 * CHOOSE(CONTROL!$C$23, $C$13, 100%, $E$13)</f>
        <v>9.0555000000000003</v>
      </c>
      <c r="E590" s="67">
        <f>10.5653 * CHOOSE(CONTROL!$C$23, $C$13, 100%, $E$13)</f>
        <v>10.565300000000001</v>
      </c>
      <c r="F590" s="67">
        <f>10.5653 * CHOOSE(CONTROL!$C$23, $C$13, 100%, $E$13)</f>
        <v>10.565300000000001</v>
      </c>
      <c r="G590" s="67">
        <f>10.57 * CHOOSE(CONTROL!$C$23, $C$13, 100%, $E$13)</f>
        <v>10.57</v>
      </c>
      <c r="H590" s="67">
        <f>19.4425* CHOOSE(CONTROL!$C$23, $C$13, 100%, $E$13)</f>
        <v>19.442499999999999</v>
      </c>
      <c r="I590" s="67">
        <f>19.4473 * CHOOSE(CONTROL!$C$23, $C$13, 100%, $E$13)</f>
        <v>19.447299999999998</v>
      </c>
      <c r="J590" s="67">
        <f>10.5653 * CHOOSE(CONTROL!$C$23, $C$13, 100%, $E$13)</f>
        <v>10.565300000000001</v>
      </c>
      <c r="K590" s="67">
        <f>10.57 * CHOOSE(CONTROL!$C$23, $C$13, 100%, $E$13)</f>
        <v>10.57</v>
      </c>
    </row>
    <row r="591" spans="1:11" ht="15">
      <c r="A591" s="13">
        <v>59111</v>
      </c>
      <c r="B591" s="66">
        <f>9.0547 * CHOOSE(CONTROL!$C$23, $C$13, 100%, $E$13)</f>
        <v>9.0547000000000004</v>
      </c>
      <c r="C591" s="66">
        <f>9.0547 * CHOOSE(CONTROL!$C$23, $C$13, 100%, $E$13)</f>
        <v>9.0547000000000004</v>
      </c>
      <c r="D591" s="66">
        <f>9.0585 * CHOOSE(CONTROL!$C$23, $C$13, 100%, $E$13)</f>
        <v>9.0585000000000004</v>
      </c>
      <c r="E591" s="67">
        <f>10.6046 * CHOOSE(CONTROL!$C$23, $C$13, 100%, $E$13)</f>
        <v>10.6046</v>
      </c>
      <c r="F591" s="67">
        <f>10.6046 * CHOOSE(CONTROL!$C$23, $C$13, 100%, $E$13)</f>
        <v>10.6046</v>
      </c>
      <c r="G591" s="67">
        <f>10.6094 * CHOOSE(CONTROL!$C$23, $C$13, 100%, $E$13)</f>
        <v>10.609400000000001</v>
      </c>
      <c r="H591" s="67">
        <f>19.483* CHOOSE(CONTROL!$C$23, $C$13, 100%, $E$13)</f>
        <v>19.483000000000001</v>
      </c>
      <c r="I591" s="67">
        <f>19.4878 * CHOOSE(CONTROL!$C$23, $C$13, 100%, $E$13)</f>
        <v>19.4878</v>
      </c>
      <c r="J591" s="67">
        <f>10.6046 * CHOOSE(CONTROL!$C$23, $C$13, 100%, $E$13)</f>
        <v>10.6046</v>
      </c>
      <c r="K591" s="67">
        <f>10.6094 * CHOOSE(CONTROL!$C$23, $C$13, 100%, $E$13)</f>
        <v>10.609400000000001</v>
      </c>
    </row>
    <row r="592" spans="1:11" ht="15">
      <c r="A592" s="13">
        <v>59141</v>
      </c>
      <c r="B592" s="66">
        <f>9.0547 * CHOOSE(CONTROL!$C$23, $C$13, 100%, $E$13)</f>
        <v>9.0547000000000004</v>
      </c>
      <c r="C592" s="66">
        <f>9.0547 * CHOOSE(CONTROL!$C$23, $C$13, 100%, $E$13)</f>
        <v>9.0547000000000004</v>
      </c>
      <c r="D592" s="66">
        <f>9.0585 * CHOOSE(CONTROL!$C$23, $C$13, 100%, $E$13)</f>
        <v>9.0585000000000004</v>
      </c>
      <c r="E592" s="67">
        <f>10.5115 * CHOOSE(CONTROL!$C$23, $C$13, 100%, $E$13)</f>
        <v>10.5115</v>
      </c>
      <c r="F592" s="67">
        <f>10.5115 * CHOOSE(CONTROL!$C$23, $C$13, 100%, $E$13)</f>
        <v>10.5115</v>
      </c>
      <c r="G592" s="67">
        <f>10.5163 * CHOOSE(CONTROL!$C$23, $C$13, 100%, $E$13)</f>
        <v>10.516299999999999</v>
      </c>
      <c r="H592" s="67">
        <f>19.5236* CHOOSE(CONTROL!$C$23, $C$13, 100%, $E$13)</f>
        <v>19.523599999999998</v>
      </c>
      <c r="I592" s="67">
        <f>19.5283 * CHOOSE(CONTROL!$C$23, $C$13, 100%, $E$13)</f>
        <v>19.528300000000002</v>
      </c>
      <c r="J592" s="67">
        <f>10.5115 * CHOOSE(CONTROL!$C$23, $C$13, 100%, $E$13)</f>
        <v>10.5115</v>
      </c>
      <c r="K592" s="67">
        <f>10.5163 * CHOOSE(CONTROL!$C$23, $C$13, 100%, $E$13)</f>
        <v>10.516299999999999</v>
      </c>
    </row>
    <row r="593" spans="1:11" ht="15">
      <c r="A593" s="13">
        <v>59172</v>
      </c>
      <c r="B593" s="66">
        <f>9.1318 * CHOOSE(CONTROL!$C$23, $C$13, 100%, $E$13)</f>
        <v>9.1318000000000001</v>
      </c>
      <c r="C593" s="66">
        <f>9.1318 * CHOOSE(CONTROL!$C$23, $C$13, 100%, $E$13)</f>
        <v>9.1318000000000001</v>
      </c>
      <c r="D593" s="66">
        <f>9.1356 * CHOOSE(CONTROL!$C$23, $C$13, 100%, $E$13)</f>
        <v>9.1356000000000002</v>
      </c>
      <c r="E593" s="67">
        <f>10.6637 * CHOOSE(CONTROL!$C$23, $C$13, 100%, $E$13)</f>
        <v>10.6637</v>
      </c>
      <c r="F593" s="67">
        <f>10.6637 * CHOOSE(CONTROL!$C$23, $C$13, 100%, $E$13)</f>
        <v>10.6637</v>
      </c>
      <c r="G593" s="67">
        <f>10.6685 * CHOOSE(CONTROL!$C$23, $C$13, 100%, $E$13)</f>
        <v>10.6685</v>
      </c>
      <c r="H593" s="67">
        <f>19.5643* CHOOSE(CONTROL!$C$23, $C$13, 100%, $E$13)</f>
        <v>19.564299999999999</v>
      </c>
      <c r="I593" s="67">
        <f>19.569 * CHOOSE(CONTROL!$C$23, $C$13, 100%, $E$13)</f>
        <v>19.568999999999999</v>
      </c>
      <c r="J593" s="67">
        <f>10.6637 * CHOOSE(CONTROL!$C$23, $C$13, 100%, $E$13)</f>
        <v>10.6637</v>
      </c>
      <c r="K593" s="67">
        <f>10.6685 * CHOOSE(CONTROL!$C$23, $C$13, 100%, $E$13)</f>
        <v>10.6685</v>
      </c>
    </row>
    <row r="594" spans="1:11" ht="15">
      <c r="A594" s="13">
        <v>59203</v>
      </c>
      <c r="B594" s="66">
        <f>9.1287 * CHOOSE(CONTROL!$C$23, $C$13, 100%, $E$13)</f>
        <v>9.1287000000000003</v>
      </c>
      <c r="C594" s="66">
        <f>9.1287 * CHOOSE(CONTROL!$C$23, $C$13, 100%, $E$13)</f>
        <v>9.1287000000000003</v>
      </c>
      <c r="D594" s="66">
        <f>9.1326 * CHOOSE(CONTROL!$C$23, $C$13, 100%, $E$13)</f>
        <v>9.1326000000000001</v>
      </c>
      <c r="E594" s="67">
        <f>10.4807 * CHOOSE(CONTROL!$C$23, $C$13, 100%, $E$13)</f>
        <v>10.480700000000001</v>
      </c>
      <c r="F594" s="67">
        <f>10.4807 * CHOOSE(CONTROL!$C$23, $C$13, 100%, $E$13)</f>
        <v>10.480700000000001</v>
      </c>
      <c r="G594" s="67">
        <f>10.4855 * CHOOSE(CONTROL!$C$23, $C$13, 100%, $E$13)</f>
        <v>10.4855</v>
      </c>
      <c r="H594" s="67">
        <f>19.605* CHOOSE(CONTROL!$C$23, $C$13, 100%, $E$13)</f>
        <v>19.605</v>
      </c>
      <c r="I594" s="67">
        <f>19.6098 * CHOOSE(CONTROL!$C$23, $C$13, 100%, $E$13)</f>
        <v>19.6098</v>
      </c>
      <c r="J594" s="67">
        <f>10.4807 * CHOOSE(CONTROL!$C$23, $C$13, 100%, $E$13)</f>
        <v>10.480700000000001</v>
      </c>
      <c r="K594" s="67">
        <f>10.4855 * CHOOSE(CONTROL!$C$23, $C$13, 100%, $E$13)</f>
        <v>10.4855</v>
      </c>
    </row>
    <row r="595" spans="1:11" ht="15">
      <c r="A595" s="13">
        <v>59231</v>
      </c>
      <c r="B595" s="66">
        <f>9.1257 * CHOOSE(CONTROL!$C$23, $C$13, 100%, $E$13)</f>
        <v>9.1257000000000001</v>
      </c>
      <c r="C595" s="66">
        <f>9.1257 * CHOOSE(CONTROL!$C$23, $C$13, 100%, $E$13)</f>
        <v>9.1257000000000001</v>
      </c>
      <c r="D595" s="66">
        <f>9.1295 * CHOOSE(CONTROL!$C$23, $C$13, 100%, $E$13)</f>
        <v>9.1295000000000002</v>
      </c>
      <c r="E595" s="67">
        <f>10.6212 * CHOOSE(CONTROL!$C$23, $C$13, 100%, $E$13)</f>
        <v>10.6212</v>
      </c>
      <c r="F595" s="67">
        <f>10.6212 * CHOOSE(CONTROL!$C$23, $C$13, 100%, $E$13)</f>
        <v>10.6212</v>
      </c>
      <c r="G595" s="67">
        <f>10.626 * CHOOSE(CONTROL!$C$23, $C$13, 100%, $E$13)</f>
        <v>10.625999999999999</v>
      </c>
      <c r="H595" s="67">
        <f>19.6459* CHOOSE(CONTROL!$C$23, $C$13, 100%, $E$13)</f>
        <v>19.645900000000001</v>
      </c>
      <c r="I595" s="67">
        <f>19.6506 * CHOOSE(CONTROL!$C$23, $C$13, 100%, $E$13)</f>
        <v>19.650600000000001</v>
      </c>
      <c r="J595" s="67">
        <f>10.6212 * CHOOSE(CONTROL!$C$23, $C$13, 100%, $E$13)</f>
        <v>10.6212</v>
      </c>
      <c r="K595" s="67">
        <f>10.626 * CHOOSE(CONTROL!$C$23, $C$13, 100%, $E$13)</f>
        <v>10.625999999999999</v>
      </c>
    </row>
    <row r="596" spans="1:11" ht="15">
      <c r="A596" s="13">
        <v>59262</v>
      </c>
      <c r="B596" s="66">
        <f>9.1277 * CHOOSE(CONTROL!$C$23, $C$13, 100%, $E$13)</f>
        <v>9.1277000000000008</v>
      </c>
      <c r="C596" s="66">
        <f>9.1277 * CHOOSE(CONTROL!$C$23, $C$13, 100%, $E$13)</f>
        <v>9.1277000000000008</v>
      </c>
      <c r="D596" s="66">
        <f>9.1315 * CHOOSE(CONTROL!$C$23, $C$13, 100%, $E$13)</f>
        <v>9.1315000000000008</v>
      </c>
      <c r="E596" s="67">
        <f>10.7701 * CHOOSE(CONTROL!$C$23, $C$13, 100%, $E$13)</f>
        <v>10.770099999999999</v>
      </c>
      <c r="F596" s="67">
        <f>10.7701 * CHOOSE(CONTROL!$C$23, $C$13, 100%, $E$13)</f>
        <v>10.770099999999999</v>
      </c>
      <c r="G596" s="67">
        <f>10.7749 * CHOOSE(CONTROL!$C$23, $C$13, 100%, $E$13)</f>
        <v>10.774900000000001</v>
      </c>
      <c r="H596" s="67">
        <f>19.6868* CHOOSE(CONTROL!$C$23, $C$13, 100%, $E$13)</f>
        <v>19.686800000000002</v>
      </c>
      <c r="I596" s="67">
        <f>19.6916 * CHOOSE(CONTROL!$C$23, $C$13, 100%, $E$13)</f>
        <v>19.691600000000001</v>
      </c>
      <c r="J596" s="67">
        <f>10.7701 * CHOOSE(CONTROL!$C$23, $C$13, 100%, $E$13)</f>
        <v>10.770099999999999</v>
      </c>
      <c r="K596" s="67">
        <f>10.7749 * CHOOSE(CONTROL!$C$23, $C$13, 100%, $E$13)</f>
        <v>10.774900000000001</v>
      </c>
    </row>
    <row r="597" spans="1:11" ht="15">
      <c r="A597" s="13">
        <v>59292</v>
      </c>
      <c r="B597" s="66">
        <f>9.1277 * CHOOSE(CONTROL!$C$23, $C$13, 100%, $E$13)</f>
        <v>9.1277000000000008</v>
      </c>
      <c r="C597" s="66">
        <f>9.1277 * CHOOSE(CONTROL!$C$23, $C$13, 100%, $E$13)</f>
        <v>9.1277000000000008</v>
      </c>
      <c r="D597" s="66">
        <f>9.1332 * CHOOSE(CONTROL!$C$23, $C$13, 100%, $E$13)</f>
        <v>9.1332000000000004</v>
      </c>
      <c r="E597" s="67">
        <f>10.8276 * CHOOSE(CONTROL!$C$23, $C$13, 100%, $E$13)</f>
        <v>10.8276</v>
      </c>
      <c r="F597" s="67">
        <f>10.8276 * CHOOSE(CONTROL!$C$23, $C$13, 100%, $E$13)</f>
        <v>10.8276</v>
      </c>
      <c r="G597" s="67">
        <f>10.8343 * CHOOSE(CONTROL!$C$23, $C$13, 100%, $E$13)</f>
        <v>10.834300000000001</v>
      </c>
      <c r="H597" s="67">
        <f>19.7278* CHOOSE(CONTROL!$C$23, $C$13, 100%, $E$13)</f>
        <v>19.727799999999998</v>
      </c>
      <c r="I597" s="67">
        <f>19.7345 * CHOOSE(CONTROL!$C$23, $C$13, 100%, $E$13)</f>
        <v>19.734500000000001</v>
      </c>
      <c r="J597" s="67">
        <f>10.8276 * CHOOSE(CONTROL!$C$23, $C$13, 100%, $E$13)</f>
        <v>10.8276</v>
      </c>
      <c r="K597" s="67">
        <f>10.8343 * CHOOSE(CONTROL!$C$23, $C$13, 100%, $E$13)</f>
        <v>10.834300000000001</v>
      </c>
    </row>
    <row r="598" spans="1:11" ht="15">
      <c r="A598" s="13">
        <v>59323</v>
      </c>
      <c r="B598" s="66">
        <f>9.1337 * CHOOSE(CONTROL!$C$23, $C$13, 100%, $E$13)</f>
        <v>9.1336999999999993</v>
      </c>
      <c r="C598" s="66">
        <f>9.1337 * CHOOSE(CONTROL!$C$23, $C$13, 100%, $E$13)</f>
        <v>9.1336999999999993</v>
      </c>
      <c r="D598" s="66">
        <f>9.1393 * CHOOSE(CONTROL!$C$23, $C$13, 100%, $E$13)</f>
        <v>9.1393000000000004</v>
      </c>
      <c r="E598" s="67">
        <f>10.7744 * CHOOSE(CONTROL!$C$23, $C$13, 100%, $E$13)</f>
        <v>10.7744</v>
      </c>
      <c r="F598" s="67">
        <f>10.7744 * CHOOSE(CONTROL!$C$23, $C$13, 100%, $E$13)</f>
        <v>10.7744</v>
      </c>
      <c r="G598" s="67">
        <f>10.7811 * CHOOSE(CONTROL!$C$23, $C$13, 100%, $E$13)</f>
        <v>10.7811</v>
      </c>
      <c r="H598" s="67">
        <f>19.7689* CHOOSE(CONTROL!$C$23, $C$13, 100%, $E$13)</f>
        <v>19.768899999999999</v>
      </c>
      <c r="I598" s="67">
        <f>19.7756 * CHOOSE(CONTROL!$C$23, $C$13, 100%, $E$13)</f>
        <v>19.775600000000001</v>
      </c>
      <c r="J598" s="67">
        <f>10.7744 * CHOOSE(CONTROL!$C$23, $C$13, 100%, $E$13)</f>
        <v>10.7744</v>
      </c>
      <c r="K598" s="67">
        <f>10.7811 * CHOOSE(CONTROL!$C$23, $C$13, 100%, $E$13)</f>
        <v>10.7811</v>
      </c>
    </row>
    <row r="599" spans="1:11" ht="15">
      <c r="A599" s="13">
        <v>59353</v>
      </c>
      <c r="B599" s="66">
        <f>9.2757 * CHOOSE(CONTROL!$C$23, $C$13, 100%, $E$13)</f>
        <v>9.2757000000000005</v>
      </c>
      <c r="C599" s="66">
        <f>9.2757 * CHOOSE(CONTROL!$C$23, $C$13, 100%, $E$13)</f>
        <v>9.2757000000000005</v>
      </c>
      <c r="D599" s="66">
        <f>9.2812 * CHOOSE(CONTROL!$C$23, $C$13, 100%, $E$13)</f>
        <v>9.2812000000000001</v>
      </c>
      <c r="E599" s="67">
        <f>10.9496 * CHOOSE(CONTROL!$C$23, $C$13, 100%, $E$13)</f>
        <v>10.9496</v>
      </c>
      <c r="F599" s="67">
        <f>10.9496 * CHOOSE(CONTROL!$C$23, $C$13, 100%, $E$13)</f>
        <v>10.9496</v>
      </c>
      <c r="G599" s="67">
        <f>10.9564 * CHOOSE(CONTROL!$C$23, $C$13, 100%, $E$13)</f>
        <v>10.9564</v>
      </c>
      <c r="H599" s="67">
        <f>19.8101* CHOOSE(CONTROL!$C$23, $C$13, 100%, $E$13)</f>
        <v>19.810099999999998</v>
      </c>
      <c r="I599" s="67">
        <f>19.8168 * CHOOSE(CONTROL!$C$23, $C$13, 100%, $E$13)</f>
        <v>19.816800000000001</v>
      </c>
      <c r="J599" s="67">
        <f>10.9496 * CHOOSE(CONTROL!$C$23, $C$13, 100%, $E$13)</f>
        <v>10.9496</v>
      </c>
      <c r="K599" s="67">
        <f>10.9564 * CHOOSE(CONTROL!$C$23, $C$13, 100%, $E$13)</f>
        <v>10.9564</v>
      </c>
    </row>
    <row r="600" spans="1:11" ht="15">
      <c r="A600" s="13">
        <v>59384</v>
      </c>
      <c r="B600" s="66">
        <f>9.2823 * CHOOSE(CONTROL!$C$23, $C$13, 100%, $E$13)</f>
        <v>9.2822999999999993</v>
      </c>
      <c r="C600" s="66">
        <f>9.2823 * CHOOSE(CONTROL!$C$23, $C$13, 100%, $E$13)</f>
        <v>9.2822999999999993</v>
      </c>
      <c r="D600" s="66">
        <f>9.2878 * CHOOSE(CONTROL!$C$23, $C$13, 100%, $E$13)</f>
        <v>9.2878000000000007</v>
      </c>
      <c r="E600" s="67">
        <f>10.782 * CHOOSE(CONTROL!$C$23, $C$13, 100%, $E$13)</f>
        <v>10.782</v>
      </c>
      <c r="F600" s="67">
        <f>10.782 * CHOOSE(CONTROL!$C$23, $C$13, 100%, $E$13)</f>
        <v>10.782</v>
      </c>
      <c r="G600" s="67">
        <f>10.7887 * CHOOSE(CONTROL!$C$23, $C$13, 100%, $E$13)</f>
        <v>10.7887</v>
      </c>
      <c r="H600" s="67">
        <f>19.8514* CHOOSE(CONTROL!$C$23, $C$13, 100%, $E$13)</f>
        <v>19.851400000000002</v>
      </c>
      <c r="I600" s="67">
        <f>19.8581 * CHOOSE(CONTROL!$C$23, $C$13, 100%, $E$13)</f>
        <v>19.8581</v>
      </c>
      <c r="J600" s="67">
        <f>10.782 * CHOOSE(CONTROL!$C$23, $C$13, 100%, $E$13)</f>
        <v>10.782</v>
      </c>
      <c r="K600" s="67">
        <f>10.7887 * CHOOSE(CONTROL!$C$23, $C$13, 100%, $E$13)</f>
        <v>10.7887</v>
      </c>
    </row>
    <row r="601" spans="1:11" ht="15">
      <c r="A601" s="13">
        <v>59415</v>
      </c>
      <c r="B601" s="66">
        <f>9.2793 * CHOOSE(CONTROL!$C$23, $C$13, 100%, $E$13)</f>
        <v>9.2792999999999992</v>
      </c>
      <c r="C601" s="66">
        <f>9.2793 * CHOOSE(CONTROL!$C$23, $C$13, 100%, $E$13)</f>
        <v>9.2792999999999992</v>
      </c>
      <c r="D601" s="66">
        <f>9.2848 * CHOOSE(CONTROL!$C$23, $C$13, 100%, $E$13)</f>
        <v>9.2848000000000006</v>
      </c>
      <c r="E601" s="67">
        <f>10.7607 * CHOOSE(CONTROL!$C$23, $C$13, 100%, $E$13)</f>
        <v>10.7607</v>
      </c>
      <c r="F601" s="67">
        <f>10.7607 * CHOOSE(CONTROL!$C$23, $C$13, 100%, $E$13)</f>
        <v>10.7607</v>
      </c>
      <c r="G601" s="67">
        <f>10.7675 * CHOOSE(CONTROL!$C$23, $C$13, 100%, $E$13)</f>
        <v>10.7675</v>
      </c>
      <c r="H601" s="67">
        <f>19.8927* CHOOSE(CONTROL!$C$23, $C$13, 100%, $E$13)</f>
        <v>19.892700000000001</v>
      </c>
      <c r="I601" s="67">
        <f>19.8995 * CHOOSE(CONTROL!$C$23, $C$13, 100%, $E$13)</f>
        <v>19.8995</v>
      </c>
      <c r="J601" s="67">
        <f>10.7607 * CHOOSE(CONTROL!$C$23, $C$13, 100%, $E$13)</f>
        <v>10.7607</v>
      </c>
      <c r="K601" s="67">
        <f>10.7675 * CHOOSE(CONTROL!$C$23, $C$13, 100%, $E$13)</f>
        <v>10.7675</v>
      </c>
    </row>
    <row r="602" spans="1:11" ht="15">
      <c r="A602" s="13">
        <v>59445</v>
      </c>
      <c r="B602" s="66">
        <f>9.2916 * CHOOSE(CONTROL!$C$23, $C$13, 100%, $E$13)</f>
        <v>9.2916000000000007</v>
      </c>
      <c r="C602" s="66">
        <f>9.2916 * CHOOSE(CONTROL!$C$23, $C$13, 100%, $E$13)</f>
        <v>9.2916000000000007</v>
      </c>
      <c r="D602" s="66">
        <f>9.2954 * CHOOSE(CONTROL!$C$23, $C$13, 100%, $E$13)</f>
        <v>9.2954000000000008</v>
      </c>
      <c r="E602" s="67">
        <f>10.8239 * CHOOSE(CONTROL!$C$23, $C$13, 100%, $E$13)</f>
        <v>10.8239</v>
      </c>
      <c r="F602" s="67">
        <f>10.8239 * CHOOSE(CONTROL!$C$23, $C$13, 100%, $E$13)</f>
        <v>10.8239</v>
      </c>
      <c r="G602" s="67">
        <f>10.8287 * CHOOSE(CONTROL!$C$23, $C$13, 100%, $E$13)</f>
        <v>10.8287</v>
      </c>
      <c r="H602" s="67">
        <f>19.9342* CHOOSE(CONTROL!$C$23, $C$13, 100%, $E$13)</f>
        <v>19.934200000000001</v>
      </c>
      <c r="I602" s="67">
        <f>19.9389 * CHOOSE(CONTROL!$C$23, $C$13, 100%, $E$13)</f>
        <v>19.9389</v>
      </c>
      <c r="J602" s="67">
        <f>10.8239 * CHOOSE(CONTROL!$C$23, $C$13, 100%, $E$13)</f>
        <v>10.8239</v>
      </c>
      <c r="K602" s="67">
        <f>10.8287 * CHOOSE(CONTROL!$C$23, $C$13, 100%, $E$13)</f>
        <v>10.8287</v>
      </c>
    </row>
    <row r="603" spans="1:11" ht="15">
      <c r="A603" s="13">
        <v>59476</v>
      </c>
      <c r="B603" s="66">
        <f>9.2946 * CHOOSE(CONTROL!$C$23, $C$13, 100%, $E$13)</f>
        <v>9.2946000000000009</v>
      </c>
      <c r="C603" s="66">
        <f>9.2946 * CHOOSE(CONTROL!$C$23, $C$13, 100%, $E$13)</f>
        <v>9.2946000000000009</v>
      </c>
      <c r="D603" s="66">
        <f>9.2985 * CHOOSE(CONTROL!$C$23, $C$13, 100%, $E$13)</f>
        <v>9.2985000000000007</v>
      </c>
      <c r="E603" s="67">
        <f>10.8643 * CHOOSE(CONTROL!$C$23, $C$13, 100%, $E$13)</f>
        <v>10.8643</v>
      </c>
      <c r="F603" s="67">
        <f>10.8643 * CHOOSE(CONTROL!$C$23, $C$13, 100%, $E$13)</f>
        <v>10.8643</v>
      </c>
      <c r="G603" s="67">
        <f>10.8691 * CHOOSE(CONTROL!$C$23, $C$13, 100%, $E$13)</f>
        <v>10.8691</v>
      </c>
      <c r="H603" s="67">
        <f>19.9757* CHOOSE(CONTROL!$C$23, $C$13, 100%, $E$13)</f>
        <v>19.9757</v>
      </c>
      <c r="I603" s="67">
        <f>19.9805 * CHOOSE(CONTROL!$C$23, $C$13, 100%, $E$13)</f>
        <v>19.980499999999999</v>
      </c>
      <c r="J603" s="67">
        <f>10.8643 * CHOOSE(CONTROL!$C$23, $C$13, 100%, $E$13)</f>
        <v>10.8643</v>
      </c>
      <c r="K603" s="67">
        <f>10.8691 * CHOOSE(CONTROL!$C$23, $C$13, 100%, $E$13)</f>
        <v>10.8691</v>
      </c>
    </row>
    <row r="604" spans="1:11" ht="15">
      <c r="A604" s="13">
        <v>59506</v>
      </c>
      <c r="B604" s="66">
        <f>9.2946 * CHOOSE(CONTROL!$C$23, $C$13, 100%, $E$13)</f>
        <v>9.2946000000000009</v>
      </c>
      <c r="C604" s="66">
        <f>9.2946 * CHOOSE(CONTROL!$C$23, $C$13, 100%, $E$13)</f>
        <v>9.2946000000000009</v>
      </c>
      <c r="D604" s="66">
        <f>9.2985 * CHOOSE(CONTROL!$C$23, $C$13, 100%, $E$13)</f>
        <v>9.2985000000000007</v>
      </c>
      <c r="E604" s="67">
        <f>10.7686 * CHOOSE(CONTROL!$C$23, $C$13, 100%, $E$13)</f>
        <v>10.768599999999999</v>
      </c>
      <c r="F604" s="67">
        <f>10.7686 * CHOOSE(CONTROL!$C$23, $C$13, 100%, $E$13)</f>
        <v>10.768599999999999</v>
      </c>
      <c r="G604" s="67">
        <f>10.7734 * CHOOSE(CONTROL!$C$23, $C$13, 100%, $E$13)</f>
        <v>10.773400000000001</v>
      </c>
      <c r="H604" s="67">
        <f>20.0173* CHOOSE(CONTROL!$C$23, $C$13, 100%, $E$13)</f>
        <v>20.017299999999999</v>
      </c>
      <c r="I604" s="67">
        <f>20.0221 * CHOOSE(CONTROL!$C$23, $C$13, 100%, $E$13)</f>
        <v>20.022099999999998</v>
      </c>
      <c r="J604" s="67">
        <f>10.7686 * CHOOSE(CONTROL!$C$23, $C$13, 100%, $E$13)</f>
        <v>10.768599999999999</v>
      </c>
      <c r="K604" s="67">
        <f>10.7734 * CHOOSE(CONTROL!$C$23, $C$13, 100%, $E$13)</f>
        <v>10.773400000000001</v>
      </c>
    </row>
    <row r="605" spans="1:11" ht="15">
      <c r="A605" s="13">
        <v>59537</v>
      </c>
      <c r="B605" s="66">
        <f>9.3673 * CHOOSE(CONTROL!$C$23, $C$13, 100%, $E$13)</f>
        <v>9.3673000000000002</v>
      </c>
      <c r="C605" s="66">
        <f>9.3673 * CHOOSE(CONTROL!$C$23, $C$13, 100%, $E$13)</f>
        <v>9.3673000000000002</v>
      </c>
      <c r="D605" s="66">
        <f>9.3712 * CHOOSE(CONTROL!$C$23, $C$13, 100%, $E$13)</f>
        <v>9.3712</v>
      </c>
      <c r="E605" s="67">
        <f>10.9185 * CHOOSE(CONTROL!$C$23, $C$13, 100%, $E$13)</f>
        <v>10.9185</v>
      </c>
      <c r="F605" s="67">
        <f>10.9185 * CHOOSE(CONTROL!$C$23, $C$13, 100%, $E$13)</f>
        <v>10.9185</v>
      </c>
      <c r="G605" s="67">
        <f>10.9232 * CHOOSE(CONTROL!$C$23, $C$13, 100%, $E$13)</f>
        <v>10.9232</v>
      </c>
      <c r="H605" s="67">
        <f>20.0468* CHOOSE(CONTROL!$C$23, $C$13, 100%, $E$13)</f>
        <v>20.046800000000001</v>
      </c>
      <c r="I605" s="67">
        <f>20.0516 * CHOOSE(CONTROL!$C$23, $C$13, 100%, $E$13)</f>
        <v>20.051600000000001</v>
      </c>
      <c r="J605" s="67">
        <f>10.9185 * CHOOSE(CONTROL!$C$23, $C$13, 100%, $E$13)</f>
        <v>10.9185</v>
      </c>
      <c r="K605" s="67">
        <f>10.9232 * CHOOSE(CONTROL!$C$23, $C$13, 100%, $E$13)</f>
        <v>10.9232</v>
      </c>
    </row>
    <row r="606" spans="1:11" ht="15">
      <c r="A606" s="13">
        <v>59568</v>
      </c>
      <c r="B606" s="66">
        <f>9.3643 * CHOOSE(CONTROL!$C$23, $C$13, 100%, $E$13)</f>
        <v>9.3643000000000001</v>
      </c>
      <c r="C606" s="66">
        <f>9.3643 * CHOOSE(CONTROL!$C$23, $C$13, 100%, $E$13)</f>
        <v>9.3643000000000001</v>
      </c>
      <c r="D606" s="66">
        <f>9.3682 * CHOOSE(CONTROL!$C$23, $C$13, 100%, $E$13)</f>
        <v>9.3681999999999999</v>
      </c>
      <c r="E606" s="67">
        <f>10.7305 * CHOOSE(CONTROL!$C$23, $C$13, 100%, $E$13)</f>
        <v>10.730499999999999</v>
      </c>
      <c r="F606" s="67">
        <f>10.7305 * CHOOSE(CONTROL!$C$23, $C$13, 100%, $E$13)</f>
        <v>10.730499999999999</v>
      </c>
      <c r="G606" s="67">
        <f>10.7353 * CHOOSE(CONTROL!$C$23, $C$13, 100%, $E$13)</f>
        <v>10.735300000000001</v>
      </c>
      <c r="H606" s="67">
        <f>20.0886* CHOOSE(CONTROL!$C$23, $C$13, 100%, $E$13)</f>
        <v>20.0886</v>
      </c>
      <c r="I606" s="67">
        <f>20.0933 * CHOOSE(CONTROL!$C$23, $C$13, 100%, $E$13)</f>
        <v>20.093299999999999</v>
      </c>
      <c r="J606" s="67">
        <f>10.7305 * CHOOSE(CONTROL!$C$23, $C$13, 100%, $E$13)</f>
        <v>10.730499999999999</v>
      </c>
      <c r="K606" s="67">
        <f>10.7353 * CHOOSE(CONTROL!$C$23, $C$13, 100%, $E$13)</f>
        <v>10.735300000000001</v>
      </c>
    </row>
    <row r="607" spans="1:11" ht="15">
      <c r="A607" s="13">
        <v>59596</v>
      </c>
      <c r="B607" s="66">
        <f>9.3612 * CHOOSE(CONTROL!$C$23, $C$13, 100%, $E$13)</f>
        <v>9.3612000000000002</v>
      </c>
      <c r="C607" s="66">
        <f>9.3612 * CHOOSE(CONTROL!$C$23, $C$13, 100%, $E$13)</f>
        <v>9.3612000000000002</v>
      </c>
      <c r="D607" s="66">
        <f>9.3651 * CHOOSE(CONTROL!$C$23, $C$13, 100%, $E$13)</f>
        <v>9.3651</v>
      </c>
      <c r="E607" s="67">
        <f>10.8749 * CHOOSE(CONTROL!$C$23, $C$13, 100%, $E$13)</f>
        <v>10.8749</v>
      </c>
      <c r="F607" s="67">
        <f>10.8749 * CHOOSE(CONTROL!$C$23, $C$13, 100%, $E$13)</f>
        <v>10.8749</v>
      </c>
      <c r="G607" s="67">
        <f>10.8797 * CHOOSE(CONTROL!$C$23, $C$13, 100%, $E$13)</f>
        <v>10.8797</v>
      </c>
      <c r="H607" s="67">
        <f>20.1304* CHOOSE(CONTROL!$C$23, $C$13, 100%, $E$13)</f>
        <v>20.130400000000002</v>
      </c>
      <c r="I607" s="67">
        <f>20.1352 * CHOOSE(CONTROL!$C$23, $C$13, 100%, $E$13)</f>
        <v>20.135200000000001</v>
      </c>
      <c r="J607" s="67">
        <f>10.8749 * CHOOSE(CONTROL!$C$23, $C$13, 100%, $E$13)</f>
        <v>10.8749</v>
      </c>
      <c r="K607" s="67">
        <f>10.8797 * CHOOSE(CONTROL!$C$23, $C$13, 100%, $E$13)</f>
        <v>10.8797</v>
      </c>
    </row>
    <row r="608" spans="1:11" ht="15">
      <c r="A608" s="13">
        <v>59627</v>
      </c>
      <c r="B608" s="66">
        <f>9.3634 * CHOOSE(CONTROL!$C$23, $C$13, 100%, $E$13)</f>
        <v>9.3634000000000004</v>
      </c>
      <c r="C608" s="66">
        <f>9.3634 * CHOOSE(CONTROL!$C$23, $C$13, 100%, $E$13)</f>
        <v>9.3634000000000004</v>
      </c>
      <c r="D608" s="66">
        <f>9.3673 * CHOOSE(CONTROL!$C$23, $C$13, 100%, $E$13)</f>
        <v>9.3673000000000002</v>
      </c>
      <c r="E608" s="67">
        <f>11.028 * CHOOSE(CONTROL!$C$23, $C$13, 100%, $E$13)</f>
        <v>11.028</v>
      </c>
      <c r="F608" s="67">
        <f>11.028 * CHOOSE(CONTROL!$C$23, $C$13, 100%, $E$13)</f>
        <v>11.028</v>
      </c>
      <c r="G608" s="67">
        <f>11.0328 * CHOOSE(CONTROL!$C$23, $C$13, 100%, $E$13)</f>
        <v>11.0328</v>
      </c>
      <c r="H608" s="67">
        <f>20.1724* CHOOSE(CONTROL!$C$23, $C$13, 100%, $E$13)</f>
        <v>20.1724</v>
      </c>
      <c r="I608" s="67">
        <f>20.1771 * CHOOSE(CONTROL!$C$23, $C$13, 100%, $E$13)</f>
        <v>20.177099999999999</v>
      </c>
      <c r="J608" s="67">
        <f>11.028 * CHOOSE(CONTROL!$C$23, $C$13, 100%, $E$13)</f>
        <v>11.028</v>
      </c>
      <c r="K608" s="67">
        <f>11.0328 * CHOOSE(CONTROL!$C$23, $C$13, 100%, $E$13)</f>
        <v>11.0328</v>
      </c>
    </row>
    <row r="609" spans="1:11" ht="15">
      <c r="A609" s="13">
        <v>59657</v>
      </c>
      <c r="B609" s="66">
        <f>9.3634 * CHOOSE(CONTROL!$C$23, $C$13, 100%, $E$13)</f>
        <v>9.3634000000000004</v>
      </c>
      <c r="C609" s="66">
        <f>9.3634 * CHOOSE(CONTROL!$C$23, $C$13, 100%, $E$13)</f>
        <v>9.3634000000000004</v>
      </c>
      <c r="D609" s="66">
        <f>9.3689 * CHOOSE(CONTROL!$C$23, $C$13, 100%, $E$13)</f>
        <v>9.3689</v>
      </c>
      <c r="E609" s="67">
        <f>11.087 * CHOOSE(CONTROL!$C$23, $C$13, 100%, $E$13)</f>
        <v>11.087</v>
      </c>
      <c r="F609" s="67">
        <f>11.087 * CHOOSE(CONTROL!$C$23, $C$13, 100%, $E$13)</f>
        <v>11.087</v>
      </c>
      <c r="G609" s="67">
        <f>11.0937 * CHOOSE(CONTROL!$C$23, $C$13, 100%, $E$13)</f>
        <v>11.0937</v>
      </c>
      <c r="H609" s="67">
        <f>20.2144* CHOOSE(CONTROL!$C$23, $C$13, 100%, $E$13)</f>
        <v>20.214400000000001</v>
      </c>
      <c r="I609" s="67">
        <f>20.2211 * CHOOSE(CONTROL!$C$23, $C$13, 100%, $E$13)</f>
        <v>20.2211</v>
      </c>
      <c r="J609" s="67">
        <f>11.087 * CHOOSE(CONTROL!$C$23, $C$13, 100%, $E$13)</f>
        <v>11.087</v>
      </c>
      <c r="K609" s="67">
        <f>11.0937 * CHOOSE(CONTROL!$C$23, $C$13, 100%, $E$13)</f>
        <v>11.0937</v>
      </c>
    </row>
    <row r="610" spans="1:11" ht="15">
      <c r="A610" s="13">
        <v>59688</v>
      </c>
      <c r="B610" s="66">
        <f>9.3695 * CHOOSE(CONTROL!$C$23, $C$13, 100%, $E$13)</f>
        <v>9.3695000000000004</v>
      </c>
      <c r="C610" s="66">
        <f>9.3695 * CHOOSE(CONTROL!$C$23, $C$13, 100%, $E$13)</f>
        <v>9.3695000000000004</v>
      </c>
      <c r="D610" s="66">
        <f>9.375 * CHOOSE(CONTROL!$C$23, $C$13, 100%, $E$13)</f>
        <v>9.375</v>
      </c>
      <c r="E610" s="67">
        <f>11.0322 * CHOOSE(CONTROL!$C$23, $C$13, 100%, $E$13)</f>
        <v>11.0322</v>
      </c>
      <c r="F610" s="67">
        <f>11.0322 * CHOOSE(CONTROL!$C$23, $C$13, 100%, $E$13)</f>
        <v>11.0322</v>
      </c>
      <c r="G610" s="67">
        <f>11.039 * CHOOSE(CONTROL!$C$23, $C$13, 100%, $E$13)</f>
        <v>11.039</v>
      </c>
      <c r="H610" s="67">
        <f>20.2565* CHOOSE(CONTROL!$C$23, $C$13, 100%, $E$13)</f>
        <v>20.256499999999999</v>
      </c>
      <c r="I610" s="67">
        <f>20.2632 * CHOOSE(CONTROL!$C$23, $C$13, 100%, $E$13)</f>
        <v>20.263200000000001</v>
      </c>
      <c r="J610" s="67">
        <f>11.0322 * CHOOSE(CONTROL!$C$23, $C$13, 100%, $E$13)</f>
        <v>11.0322</v>
      </c>
      <c r="K610" s="67">
        <f>11.039 * CHOOSE(CONTROL!$C$23, $C$13, 100%, $E$13)</f>
        <v>11.039</v>
      </c>
    </row>
    <row r="611" spans="1:11" ht="15">
      <c r="A611" s="13">
        <v>59718</v>
      </c>
      <c r="B611" s="66">
        <f>9.5148 * CHOOSE(CONTROL!$C$23, $C$13, 100%, $E$13)</f>
        <v>9.5147999999999993</v>
      </c>
      <c r="C611" s="66">
        <f>9.5148 * CHOOSE(CONTROL!$C$23, $C$13, 100%, $E$13)</f>
        <v>9.5147999999999993</v>
      </c>
      <c r="D611" s="66">
        <f>9.5203 * CHOOSE(CONTROL!$C$23, $C$13, 100%, $E$13)</f>
        <v>9.5203000000000007</v>
      </c>
      <c r="E611" s="67">
        <f>11.2114 * CHOOSE(CONTROL!$C$23, $C$13, 100%, $E$13)</f>
        <v>11.211399999999999</v>
      </c>
      <c r="F611" s="67">
        <f>11.2114 * CHOOSE(CONTROL!$C$23, $C$13, 100%, $E$13)</f>
        <v>11.211399999999999</v>
      </c>
      <c r="G611" s="67">
        <f>11.2182 * CHOOSE(CONTROL!$C$23, $C$13, 100%, $E$13)</f>
        <v>11.2182</v>
      </c>
      <c r="H611" s="67">
        <f>20.2987* CHOOSE(CONTROL!$C$23, $C$13, 100%, $E$13)</f>
        <v>20.2987</v>
      </c>
      <c r="I611" s="67">
        <f>20.3054 * CHOOSE(CONTROL!$C$23, $C$13, 100%, $E$13)</f>
        <v>20.305399999999999</v>
      </c>
      <c r="J611" s="67">
        <f>11.2114 * CHOOSE(CONTROL!$C$23, $C$13, 100%, $E$13)</f>
        <v>11.211399999999999</v>
      </c>
      <c r="K611" s="67">
        <f>11.2182 * CHOOSE(CONTROL!$C$23, $C$13, 100%, $E$13)</f>
        <v>11.2182</v>
      </c>
    </row>
    <row r="612" spans="1:11" ht="15">
      <c r="A612" s="13">
        <v>59749</v>
      </c>
      <c r="B612" s="66">
        <f>9.5215 * CHOOSE(CONTROL!$C$23, $C$13, 100%, $E$13)</f>
        <v>9.5214999999999996</v>
      </c>
      <c r="C612" s="66">
        <f>9.5215 * CHOOSE(CONTROL!$C$23, $C$13, 100%, $E$13)</f>
        <v>9.5214999999999996</v>
      </c>
      <c r="D612" s="66">
        <f>9.527 * CHOOSE(CONTROL!$C$23, $C$13, 100%, $E$13)</f>
        <v>9.5269999999999992</v>
      </c>
      <c r="E612" s="67">
        <f>11.0391 * CHOOSE(CONTROL!$C$23, $C$13, 100%, $E$13)</f>
        <v>11.039099999999999</v>
      </c>
      <c r="F612" s="67">
        <f>11.0391 * CHOOSE(CONTROL!$C$23, $C$13, 100%, $E$13)</f>
        <v>11.039099999999999</v>
      </c>
      <c r="G612" s="67">
        <f>11.0458 * CHOOSE(CONTROL!$C$23, $C$13, 100%, $E$13)</f>
        <v>11.0458</v>
      </c>
      <c r="H612" s="67">
        <f>20.341* CHOOSE(CONTROL!$C$23, $C$13, 100%, $E$13)</f>
        <v>20.341000000000001</v>
      </c>
      <c r="I612" s="67">
        <f>20.3477 * CHOOSE(CONTROL!$C$23, $C$13, 100%, $E$13)</f>
        <v>20.3477</v>
      </c>
      <c r="J612" s="67">
        <f>11.0391 * CHOOSE(CONTROL!$C$23, $C$13, 100%, $E$13)</f>
        <v>11.039099999999999</v>
      </c>
      <c r="K612" s="67">
        <f>11.0458 * CHOOSE(CONTROL!$C$23, $C$13, 100%, $E$13)</f>
        <v>11.0458</v>
      </c>
    </row>
    <row r="613" spans="1:11" ht="15">
      <c r="A613" s="13">
        <v>59780</v>
      </c>
      <c r="B613" s="66">
        <f>9.5185 * CHOOSE(CONTROL!$C$23, $C$13, 100%, $E$13)</f>
        <v>9.5184999999999995</v>
      </c>
      <c r="C613" s="66">
        <f>9.5185 * CHOOSE(CONTROL!$C$23, $C$13, 100%, $E$13)</f>
        <v>9.5184999999999995</v>
      </c>
      <c r="D613" s="66">
        <f>9.524 * CHOOSE(CONTROL!$C$23, $C$13, 100%, $E$13)</f>
        <v>9.5239999999999991</v>
      </c>
      <c r="E613" s="67">
        <f>11.0173 * CHOOSE(CONTROL!$C$23, $C$13, 100%, $E$13)</f>
        <v>11.017300000000001</v>
      </c>
      <c r="F613" s="67">
        <f>11.0173 * CHOOSE(CONTROL!$C$23, $C$13, 100%, $E$13)</f>
        <v>11.017300000000001</v>
      </c>
      <c r="G613" s="67">
        <f>11.024 * CHOOSE(CONTROL!$C$23, $C$13, 100%, $E$13)</f>
        <v>11.023999999999999</v>
      </c>
      <c r="H613" s="67">
        <f>20.3834* CHOOSE(CONTROL!$C$23, $C$13, 100%, $E$13)</f>
        <v>20.383400000000002</v>
      </c>
      <c r="I613" s="67">
        <f>20.3901 * CHOOSE(CONTROL!$C$23, $C$13, 100%, $E$13)</f>
        <v>20.3901</v>
      </c>
      <c r="J613" s="67">
        <f>11.0173 * CHOOSE(CONTROL!$C$23, $C$13, 100%, $E$13)</f>
        <v>11.017300000000001</v>
      </c>
      <c r="K613" s="67">
        <f>11.024 * CHOOSE(CONTROL!$C$23, $C$13, 100%, $E$13)</f>
        <v>11.023999999999999</v>
      </c>
    </row>
    <row r="614" spans="1:11" ht="15">
      <c r="A614" s="13">
        <v>59810</v>
      </c>
      <c r="B614" s="66">
        <f>9.5315 * CHOOSE(CONTROL!$C$23, $C$13, 100%, $E$13)</f>
        <v>9.5314999999999994</v>
      </c>
      <c r="C614" s="66">
        <f>9.5315 * CHOOSE(CONTROL!$C$23, $C$13, 100%, $E$13)</f>
        <v>9.5314999999999994</v>
      </c>
      <c r="D614" s="66">
        <f>9.5354 * CHOOSE(CONTROL!$C$23, $C$13, 100%, $E$13)</f>
        <v>9.5353999999999992</v>
      </c>
      <c r="E614" s="67">
        <f>11.0825 * CHOOSE(CONTROL!$C$23, $C$13, 100%, $E$13)</f>
        <v>11.0825</v>
      </c>
      <c r="F614" s="67">
        <f>11.0825 * CHOOSE(CONTROL!$C$23, $C$13, 100%, $E$13)</f>
        <v>11.0825</v>
      </c>
      <c r="G614" s="67">
        <f>11.0873 * CHOOSE(CONTROL!$C$23, $C$13, 100%, $E$13)</f>
        <v>11.087300000000001</v>
      </c>
      <c r="H614" s="67">
        <f>20.4258* CHOOSE(CONTROL!$C$23, $C$13, 100%, $E$13)</f>
        <v>20.425799999999999</v>
      </c>
      <c r="I614" s="67">
        <f>20.4306 * CHOOSE(CONTROL!$C$23, $C$13, 100%, $E$13)</f>
        <v>20.430599999999998</v>
      </c>
      <c r="J614" s="67">
        <f>11.0825 * CHOOSE(CONTROL!$C$23, $C$13, 100%, $E$13)</f>
        <v>11.0825</v>
      </c>
      <c r="K614" s="67">
        <f>11.0873 * CHOOSE(CONTROL!$C$23, $C$13, 100%, $E$13)</f>
        <v>11.087300000000001</v>
      </c>
    </row>
    <row r="615" spans="1:11" ht="15">
      <c r="A615" s="13">
        <v>59841</v>
      </c>
      <c r="B615" s="66">
        <f>9.5345 * CHOOSE(CONTROL!$C$23, $C$13, 100%, $E$13)</f>
        <v>9.5344999999999995</v>
      </c>
      <c r="C615" s="66">
        <f>9.5345 * CHOOSE(CONTROL!$C$23, $C$13, 100%, $E$13)</f>
        <v>9.5344999999999995</v>
      </c>
      <c r="D615" s="66">
        <f>9.5384 * CHOOSE(CONTROL!$C$23, $C$13, 100%, $E$13)</f>
        <v>9.5383999999999993</v>
      </c>
      <c r="E615" s="67">
        <f>11.124 * CHOOSE(CONTROL!$C$23, $C$13, 100%, $E$13)</f>
        <v>11.124000000000001</v>
      </c>
      <c r="F615" s="67">
        <f>11.124 * CHOOSE(CONTROL!$C$23, $C$13, 100%, $E$13)</f>
        <v>11.124000000000001</v>
      </c>
      <c r="G615" s="67">
        <f>11.1288 * CHOOSE(CONTROL!$C$23, $C$13, 100%, $E$13)</f>
        <v>11.1288</v>
      </c>
      <c r="H615" s="67">
        <f>20.4684* CHOOSE(CONTROL!$C$23, $C$13, 100%, $E$13)</f>
        <v>20.468399999999999</v>
      </c>
      <c r="I615" s="67">
        <f>20.4731 * CHOOSE(CONTROL!$C$23, $C$13, 100%, $E$13)</f>
        <v>20.473099999999999</v>
      </c>
      <c r="J615" s="67">
        <f>11.124 * CHOOSE(CONTROL!$C$23, $C$13, 100%, $E$13)</f>
        <v>11.124000000000001</v>
      </c>
      <c r="K615" s="67">
        <f>11.1288 * CHOOSE(CONTROL!$C$23, $C$13, 100%, $E$13)</f>
        <v>11.1288</v>
      </c>
    </row>
    <row r="616" spans="1:11" ht="15">
      <c r="A616" s="13">
        <v>59871</v>
      </c>
      <c r="B616" s="66">
        <f>9.5345 * CHOOSE(CONTROL!$C$23, $C$13, 100%, $E$13)</f>
        <v>9.5344999999999995</v>
      </c>
      <c r="C616" s="66">
        <f>9.5345 * CHOOSE(CONTROL!$C$23, $C$13, 100%, $E$13)</f>
        <v>9.5344999999999995</v>
      </c>
      <c r="D616" s="66">
        <f>9.5384 * CHOOSE(CONTROL!$C$23, $C$13, 100%, $E$13)</f>
        <v>9.5383999999999993</v>
      </c>
      <c r="E616" s="67">
        <f>11.0257 * CHOOSE(CONTROL!$C$23, $C$13, 100%, $E$13)</f>
        <v>11.025700000000001</v>
      </c>
      <c r="F616" s="67">
        <f>11.0257 * CHOOSE(CONTROL!$C$23, $C$13, 100%, $E$13)</f>
        <v>11.025700000000001</v>
      </c>
      <c r="G616" s="67">
        <f>11.0304 * CHOOSE(CONTROL!$C$23, $C$13, 100%, $E$13)</f>
        <v>11.0304</v>
      </c>
      <c r="H616" s="67">
        <f>20.511* CHOOSE(CONTROL!$C$23, $C$13, 100%, $E$13)</f>
        <v>20.510999999999999</v>
      </c>
      <c r="I616" s="67">
        <f>20.5158 * CHOOSE(CONTROL!$C$23, $C$13, 100%, $E$13)</f>
        <v>20.515799999999999</v>
      </c>
      <c r="J616" s="67">
        <f>11.0257 * CHOOSE(CONTROL!$C$23, $C$13, 100%, $E$13)</f>
        <v>11.025700000000001</v>
      </c>
      <c r="K616" s="67">
        <f>11.0304 * CHOOSE(CONTROL!$C$23, $C$13, 100%, $E$13)</f>
        <v>11.0304</v>
      </c>
    </row>
    <row r="617" spans="1:11" ht="15">
      <c r="A617" s="13">
        <v>59902</v>
      </c>
      <c r="B617" s="66">
        <f>9.6029 * CHOOSE(CONTROL!$C$23, $C$13, 100%, $E$13)</f>
        <v>9.6029</v>
      </c>
      <c r="C617" s="66">
        <f>9.6029 * CHOOSE(CONTROL!$C$23, $C$13, 100%, $E$13)</f>
        <v>9.6029</v>
      </c>
      <c r="D617" s="66">
        <f>9.6068 * CHOOSE(CONTROL!$C$23, $C$13, 100%, $E$13)</f>
        <v>9.6067999999999998</v>
      </c>
      <c r="E617" s="67">
        <f>11.1732 * CHOOSE(CONTROL!$C$23, $C$13, 100%, $E$13)</f>
        <v>11.1732</v>
      </c>
      <c r="F617" s="67">
        <f>11.1732 * CHOOSE(CONTROL!$C$23, $C$13, 100%, $E$13)</f>
        <v>11.1732</v>
      </c>
      <c r="G617" s="67">
        <f>11.178 * CHOOSE(CONTROL!$C$23, $C$13, 100%, $E$13)</f>
        <v>11.178000000000001</v>
      </c>
      <c r="H617" s="67">
        <f>20.5293* CHOOSE(CONTROL!$C$23, $C$13, 100%, $E$13)</f>
        <v>20.529299999999999</v>
      </c>
      <c r="I617" s="67">
        <f>20.5341 * CHOOSE(CONTROL!$C$23, $C$13, 100%, $E$13)</f>
        <v>20.534099999999999</v>
      </c>
      <c r="J617" s="67">
        <f>11.1732 * CHOOSE(CONTROL!$C$23, $C$13, 100%, $E$13)</f>
        <v>11.1732</v>
      </c>
      <c r="K617" s="67">
        <f>11.178 * CHOOSE(CONTROL!$C$23, $C$13, 100%, $E$13)</f>
        <v>11.178000000000001</v>
      </c>
    </row>
    <row r="618" spans="1:11" ht="15">
      <c r="A618" s="13">
        <v>59933</v>
      </c>
      <c r="B618" s="66">
        <f>9.5999 * CHOOSE(CONTROL!$C$23, $C$13, 100%, $E$13)</f>
        <v>9.5998999999999999</v>
      </c>
      <c r="C618" s="66">
        <f>9.5999 * CHOOSE(CONTROL!$C$23, $C$13, 100%, $E$13)</f>
        <v>9.5998999999999999</v>
      </c>
      <c r="D618" s="66">
        <f>9.6037 * CHOOSE(CONTROL!$C$23, $C$13, 100%, $E$13)</f>
        <v>9.6036999999999999</v>
      </c>
      <c r="E618" s="67">
        <f>10.9803 * CHOOSE(CONTROL!$C$23, $C$13, 100%, $E$13)</f>
        <v>10.9803</v>
      </c>
      <c r="F618" s="67">
        <f>10.9803 * CHOOSE(CONTROL!$C$23, $C$13, 100%, $E$13)</f>
        <v>10.9803</v>
      </c>
      <c r="G618" s="67">
        <f>10.9851 * CHOOSE(CONTROL!$C$23, $C$13, 100%, $E$13)</f>
        <v>10.985099999999999</v>
      </c>
      <c r="H618" s="67">
        <f>20.5721* CHOOSE(CONTROL!$C$23, $C$13, 100%, $E$13)</f>
        <v>20.572099999999999</v>
      </c>
      <c r="I618" s="67">
        <f>20.5769 * CHOOSE(CONTROL!$C$23, $C$13, 100%, $E$13)</f>
        <v>20.576899999999998</v>
      </c>
      <c r="J618" s="67">
        <f>10.9803 * CHOOSE(CONTROL!$C$23, $C$13, 100%, $E$13)</f>
        <v>10.9803</v>
      </c>
      <c r="K618" s="67">
        <f>10.9851 * CHOOSE(CONTROL!$C$23, $C$13, 100%, $E$13)</f>
        <v>10.985099999999999</v>
      </c>
    </row>
    <row r="619" spans="1:11" ht="15">
      <c r="A619" s="13">
        <v>59962</v>
      </c>
      <c r="B619" s="66">
        <f>9.5968 * CHOOSE(CONTROL!$C$23, $C$13, 100%, $E$13)</f>
        <v>9.5968</v>
      </c>
      <c r="C619" s="66">
        <f>9.5968 * CHOOSE(CONTROL!$C$23, $C$13, 100%, $E$13)</f>
        <v>9.5968</v>
      </c>
      <c r="D619" s="66">
        <f>9.6007 * CHOOSE(CONTROL!$C$23, $C$13, 100%, $E$13)</f>
        <v>9.6006999999999998</v>
      </c>
      <c r="E619" s="67">
        <f>11.1286 * CHOOSE(CONTROL!$C$23, $C$13, 100%, $E$13)</f>
        <v>11.1286</v>
      </c>
      <c r="F619" s="67">
        <f>11.1286 * CHOOSE(CONTROL!$C$23, $C$13, 100%, $E$13)</f>
        <v>11.1286</v>
      </c>
      <c r="G619" s="67">
        <f>11.1333 * CHOOSE(CONTROL!$C$23, $C$13, 100%, $E$13)</f>
        <v>11.1333</v>
      </c>
      <c r="H619" s="67">
        <f>20.615* CHOOSE(CONTROL!$C$23, $C$13, 100%, $E$13)</f>
        <v>20.614999999999998</v>
      </c>
      <c r="I619" s="67">
        <f>20.6197 * CHOOSE(CONTROL!$C$23, $C$13, 100%, $E$13)</f>
        <v>20.619700000000002</v>
      </c>
      <c r="J619" s="67">
        <f>11.1286 * CHOOSE(CONTROL!$C$23, $C$13, 100%, $E$13)</f>
        <v>11.1286</v>
      </c>
      <c r="K619" s="67">
        <f>11.1333 * CHOOSE(CONTROL!$C$23, $C$13, 100%, $E$13)</f>
        <v>11.1333</v>
      </c>
    </row>
    <row r="620" spans="1:11" ht="15">
      <c r="A620" s="13">
        <v>59993</v>
      </c>
      <c r="B620" s="66">
        <f>9.5992 * CHOOSE(CONTROL!$C$23, $C$13, 100%, $E$13)</f>
        <v>9.5991999999999997</v>
      </c>
      <c r="C620" s="66">
        <f>9.5992 * CHOOSE(CONTROL!$C$23, $C$13, 100%, $E$13)</f>
        <v>9.5991999999999997</v>
      </c>
      <c r="D620" s="66">
        <f>9.6031 * CHOOSE(CONTROL!$C$23, $C$13, 100%, $E$13)</f>
        <v>9.6030999999999995</v>
      </c>
      <c r="E620" s="67">
        <f>11.2859 * CHOOSE(CONTROL!$C$23, $C$13, 100%, $E$13)</f>
        <v>11.2859</v>
      </c>
      <c r="F620" s="67">
        <f>11.2859 * CHOOSE(CONTROL!$C$23, $C$13, 100%, $E$13)</f>
        <v>11.2859</v>
      </c>
      <c r="G620" s="67">
        <f>11.2906 * CHOOSE(CONTROL!$C$23, $C$13, 100%, $E$13)</f>
        <v>11.2906</v>
      </c>
      <c r="H620" s="67">
        <f>20.6579* CHOOSE(CONTROL!$C$23, $C$13, 100%, $E$13)</f>
        <v>20.657900000000001</v>
      </c>
      <c r="I620" s="67">
        <f>20.6627 * CHOOSE(CONTROL!$C$23, $C$13, 100%, $E$13)</f>
        <v>20.662700000000001</v>
      </c>
      <c r="J620" s="67">
        <f>11.2859 * CHOOSE(CONTROL!$C$23, $C$13, 100%, $E$13)</f>
        <v>11.2859</v>
      </c>
      <c r="K620" s="67">
        <f>11.2906 * CHOOSE(CONTROL!$C$23, $C$13, 100%, $E$13)</f>
        <v>11.2906</v>
      </c>
    </row>
    <row r="621" spans="1:11" ht="15">
      <c r="A621" s="13">
        <v>60023</v>
      </c>
      <c r="B621" s="66">
        <f>9.5992 * CHOOSE(CONTROL!$C$23, $C$13, 100%, $E$13)</f>
        <v>9.5991999999999997</v>
      </c>
      <c r="C621" s="66">
        <f>9.5992 * CHOOSE(CONTROL!$C$23, $C$13, 100%, $E$13)</f>
        <v>9.5991999999999997</v>
      </c>
      <c r="D621" s="66">
        <f>9.6047 * CHOOSE(CONTROL!$C$23, $C$13, 100%, $E$13)</f>
        <v>9.6046999999999993</v>
      </c>
      <c r="E621" s="67">
        <f>11.3464 * CHOOSE(CONTROL!$C$23, $C$13, 100%, $E$13)</f>
        <v>11.346399999999999</v>
      </c>
      <c r="F621" s="67">
        <f>11.3464 * CHOOSE(CONTROL!$C$23, $C$13, 100%, $E$13)</f>
        <v>11.346399999999999</v>
      </c>
      <c r="G621" s="67">
        <f>11.3532 * CHOOSE(CONTROL!$C$23, $C$13, 100%, $E$13)</f>
        <v>11.353199999999999</v>
      </c>
      <c r="H621" s="67">
        <f>20.701* CHOOSE(CONTROL!$C$23, $C$13, 100%, $E$13)</f>
        <v>20.701000000000001</v>
      </c>
      <c r="I621" s="67">
        <f>20.7077 * CHOOSE(CONTROL!$C$23, $C$13, 100%, $E$13)</f>
        <v>20.707699999999999</v>
      </c>
      <c r="J621" s="67">
        <f>11.3464 * CHOOSE(CONTROL!$C$23, $C$13, 100%, $E$13)</f>
        <v>11.346399999999999</v>
      </c>
      <c r="K621" s="67">
        <f>11.3532 * CHOOSE(CONTROL!$C$23, $C$13, 100%, $E$13)</f>
        <v>11.353199999999999</v>
      </c>
    </row>
    <row r="622" spans="1:11" ht="15">
      <c r="A622" s="13">
        <v>60054</v>
      </c>
      <c r="B622" s="66">
        <f>9.6053 * CHOOSE(CONTROL!$C$23, $C$13, 100%, $E$13)</f>
        <v>9.6052999999999997</v>
      </c>
      <c r="C622" s="66">
        <f>9.6053 * CHOOSE(CONTROL!$C$23, $C$13, 100%, $E$13)</f>
        <v>9.6052999999999997</v>
      </c>
      <c r="D622" s="66">
        <f>9.6108 * CHOOSE(CONTROL!$C$23, $C$13, 100%, $E$13)</f>
        <v>9.6107999999999993</v>
      </c>
      <c r="E622" s="67">
        <f>11.2901 * CHOOSE(CONTROL!$C$23, $C$13, 100%, $E$13)</f>
        <v>11.290100000000001</v>
      </c>
      <c r="F622" s="67">
        <f>11.2901 * CHOOSE(CONTROL!$C$23, $C$13, 100%, $E$13)</f>
        <v>11.290100000000001</v>
      </c>
      <c r="G622" s="67">
        <f>11.2968 * CHOOSE(CONTROL!$C$23, $C$13, 100%, $E$13)</f>
        <v>11.296799999999999</v>
      </c>
      <c r="H622" s="67">
        <f>20.7441* CHOOSE(CONTROL!$C$23, $C$13, 100%, $E$13)</f>
        <v>20.7441</v>
      </c>
      <c r="I622" s="67">
        <f>20.7508 * CHOOSE(CONTROL!$C$23, $C$13, 100%, $E$13)</f>
        <v>20.750800000000002</v>
      </c>
      <c r="J622" s="67">
        <f>11.2901 * CHOOSE(CONTROL!$C$23, $C$13, 100%, $E$13)</f>
        <v>11.290100000000001</v>
      </c>
      <c r="K622" s="67">
        <f>11.2968 * CHOOSE(CONTROL!$C$23, $C$13, 100%, $E$13)</f>
        <v>11.296799999999999</v>
      </c>
    </row>
    <row r="623" spans="1:11" ht="15">
      <c r="A623" s="13">
        <v>60084</v>
      </c>
      <c r="B623" s="66">
        <f>9.754 * CHOOSE(CONTROL!$C$23, $C$13, 100%, $E$13)</f>
        <v>9.7539999999999996</v>
      </c>
      <c r="C623" s="66">
        <f>9.754 * CHOOSE(CONTROL!$C$23, $C$13, 100%, $E$13)</f>
        <v>9.7539999999999996</v>
      </c>
      <c r="D623" s="66">
        <f>9.7595 * CHOOSE(CONTROL!$C$23, $C$13, 100%, $E$13)</f>
        <v>9.7594999999999992</v>
      </c>
      <c r="E623" s="67">
        <f>11.4732 * CHOOSE(CONTROL!$C$23, $C$13, 100%, $E$13)</f>
        <v>11.4732</v>
      </c>
      <c r="F623" s="67">
        <f>11.4732 * CHOOSE(CONTROL!$C$23, $C$13, 100%, $E$13)</f>
        <v>11.4732</v>
      </c>
      <c r="G623" s="67">
        <f>11.4799 * CHOOSE(CONTROL!$C$23, $C$13, 100%, $E$13)</f>
        <v>11.479900000000001</v>
      </c>
      <c r="H623" s="67">
        <f>20.7873* CHOOSE(CONTROL!$C$23, $C$13, 100%, $E$13)</f>
        <v>20.787299999999998</v>
      </c>
      <c r="I623" s="67">
        <f>20.794 * CHOOSE(CONTROL!$C$23, $C$13, 100%, $E$13)</f>
        <v>20.794</v>
      </c>
      <c r="J623" s="67">
        <f>11.4732 * CHOOSE(CONTROL!$C$23, $C$13, 100%, $E$13)</f>
        <v>11.4732</v>
      </c>
      <c r="K623" s="67">
        <f>11.4799 * CHOOSE(CONTROL!$C$23, $C$13, 100%, $E$13)</f>
        <v>11.479900000000001</v>
      </c>
    </row>
    <row r="624" spans="1:11" ht="15">
      <c r="A624" s="13">
        <v>60115</v>
      </c>
      <c r="B624" s="66">
        <f>9.7607 * CHOOSE(CONTROL!$C$23, $C$13, 100%, $E$13)</f>
        <v>9.7606999999999999</v>
      </c>
      <c r="C624" s="66">
        <f>9.7607 * CHOOSE(CONTROL!$C$23, $C$13, 100%, $E$13)</f>
        <v>9.7606999999999999</v>
      </c>
      <c r="D624" s="66">
        <f>9.7662 * CHOOSE(CONTROL!$C$23, $C$13, 100%, $E$13)</f>
        <v>9.7661999999999995</v>
      </c>
      <c r="E624" s="67">
        <f>11.2961 * CHOOSE(CONTROL!$C$23, $C$13, 100%, $E$13)</f>
        <v>11.296099999999999</v>
      </c>
      <c r="F624" s="67">
        <f>11.2961 * CHOOSE(CONTROL!$C$23, $C$13, 100%, $E$13)</f>
        <v>11.296099999999999</v>
      </c>
      <c r="G624" s="67">
        <f>11.3029 * CHOOSE(CONTROL!$C$23, $C$13, 100%, $E$13)</f>
        <v>11.302899999999999</v>
      </c>
      <c r="H624" s="67">
        <f>20.8306* CHOOSE(CONTROL!$C$23, $C$13, 100%, $E$13)</f>
        <v>20.8306</v>
      </c>
      <c r="I624" s="67">
        <f>20.8373 * CHOOSE(CONTROL!$C$23, $C$13, 100%, $E$13)</f>
        <v>20.837299999999999</v>
      </c>
      <c r="J624" s="67">
        <f>11.2961 * CHOOSE(CONTROL!$C$23, $C$13, 100%, $E$13)</f>
        <v>11.296099999999999</v>
      </c>
      <c r="K624" s="67">
        <f>11.3029 * CHOOSE(CONTROL!$C$23, $C$13, 100%, $E$13)</f>
        <v>11.302899999999999</v>
      </c>
    </row>
    <row r="625" spans="1:11" ht="15">
      <c r="A625" s="13">
        <v>60146</v>
      </c>
      <c r="B625" s="66">
        <f>9.7577 * CHOOSE(CONTROL!$C$23, $C$13, 100%, $E$13)</f>
        <v>9.7576999999999998</v>
      </c>
      <c r="C625" s="66">
        <f>9.7577 * CHOOSE(CONTROL!$C$23, $C$13, 100%, $E$13)</f>
        <v>9.7576999999999998</v>
      </c>
      <c r="D625" s="66">
        <f>9.7632 * CHOOSE(CONTROL!$C$23, $C$13, 100%, $E$13)</f>
        <v>9.7631999999999994</v>
      </c>
      <c r="E625" s="67">
        <f>11.2738 * CHOOSE(CONTROL!$C$23, $C$13, 100%, $E$13)</f>
        <v>11.2738</v>
      </c>
      <c r="F625" s="67">
        <f>11.2738 * CHOOSE(CONTROL!$C$23, $C$13, 100%, $E$13)</f>
        <v>11.2738</v>
      </c>
      <c r="G625" s="67">
        <f>11.2806 * CHOOSE(CONTROL!$C$23, $C$13, 100%, $E$13)</f>
        <v>11.2806</v>
      </c>
      <c r="H625" s="67">
        <f>20.874* CHOOSE(CONTROL!$C$23, $C$13, 100%, $E$13)</f>
        <v>20.873999999999999</v>
      </c>
      <c r="I625" s="67">
        <f>20.8807 * CHOOSE(CONTROL!$C$23, $C$13, 100%, $E$13)</f>
        <v>20.880700000000001</v>
      </c>
      <c r="J625" s="67">
        <f>11.2738 * CHOOSE(CONTROL!$C$23, $C$13, 100%, $E$13)</f>
        <v>11.2738</v>
      </c>
      <c r="K625" s="67">
        <f>11.2806 * CHOOSE(CONTROL!$C$23, $C$13, 100%, $E$13)</f>
        <v>11.2806</v>
      </c>
    </row>
    <row r="626" spans="1:11" ht="15">
      <c r="A626" s="13">
        <v>60176</v>
      </c>
      <c r="B626" s="66">
        <f>9.7714 * CHOOSE(CONTROL!$C$23, $C$13, 100%, $E$13)</f>
        <v>9.7713999999999999</v>
      </c>
      <c r="C626" s="66">
        <f>9.7714 * CHOOSE(CONTROL!$C$23, $C$13, 100%, $E$13)</f>
        <v>9.7713999999999999</v>
      </c>
      <c r="D626" s="66">
        <f>9.7753 * CHOOSE(CONTROL!$C$23, $C$13, 100%, $E$13)</f>
        <v>9.7752999999999997</v>
      </c>
      <c r="E626" s="67">
        <f>11.3412 * CHOOSE(CONTROL!$C$23, $C$13, 100%, $E$13)</f>
        <v>11.341200000000001</v>
      </c>
      <c r="F626" s="67">
        <f>11.3412 * CHOOSE(CONTROL!$C$23, $C$13, 100%, $E$13)</f>
        <v>11.341200000000001</v>
      </c>
      <c r="G626" s="67">
        <f>11.346 * CHOOSE(CONTROL!$C$23, $C$13, 100%, $E$13)</f>
        <v>11.346</v>
      </c>
      <c r="H626" s="67">
        <f>20.9175* CHOOSE(CONTROL!$C$23, $C$13, 100%, $E$13)</f>
        <v>20.9175</v>
      </c>
      <c r="I626" s="67">
        <f>20.9223 * CHOOSE(CONTROL!$C$23, $C$13, 100%, $E$13)</f>
        <v>20.9223</v>
      </c>
      <c r="J626" s="67">
        <f>11.3412 * CHOOSE(CONTROL!$C$23, $C$13, 100%, $E$13)</f>
        <v>11.341200000000001</v>
      </c>
      <c r="K626" s="67">
        <f>11.346 * CHOOSE(CONTROL!$C$23, $C$13, 100%, $E$13)</f>
        <v>11.346</v>
      </c>
    </row>
    <row r="627" spans="1:11" ht="15">
      <c r="A627" s="13">
        <v>60207</v>
      </c>
      <c r="B627" s="66">
        <f>9.7745 * CHOOSE(CONTROL!$C$23, $C$13, 100%, $E$13)</f>
        <v>9.7744999999999997</v>
      </c>
      <c r="C627" s="66">
        <f>9.7745 * CHOOSE(CONTROL!$C$23, $C$13, 100%, $E$13)</f>
        <v>9.7744999999999997</v>
      </c>
      <c r="D627" s="66">
        <f>9.7784 * CHOOSE(CONTROL!$C$23, $C$13, 100%, $E$13)</f>
        <v>9.7783999999999995</v>
      </c>
      <c r="E627" s="67">
        <f>11.3837 * CHOOSE(CONTROL!$C$23, $C$13, 100%, $E$13)</f>
        <v>11.383699999999999</v>
      </c>
      <c r="F627" s="67">
        <f>11.3837 * CHOOSE(CONTROL!$C$23, $C$13, 100%, $E$13)</f>
        <v>11.383699999999999</v>
      </c>
      <c r="G627" s="67">
        <f>11.3884 * CHOOSE(CONTROL!$C$23, $C$13, 100%, $E$13)</f>
        <v>11.388400000000001</v>
      </c>
      <c r="H627" s="67">
        <f>20.9611* CHOOSE(CONTROL!$C$23, $C$13, 100%, $E$13)</f>
        <v>20.961099999999998</v>
      </c>
      <c r="I627" s="67">
        <f>20.9658 * CHOOSE(CONTROL!$C$23, $C$13, 100%, $E$13)</f>
        <v>20.965800000000002</v>
      </c>
      <c r="J627" s="67">
        <f>11.3837 * CHOOSE(CONTROL!$C$23, $C$13, 100%, $E$13)</f>
        <v>11.383699999999999</v>
      </c>
      <c r="K627" s="67">
        <f>11.3884 * CHOOSE(CONTROL!$C$23, $C$13, 100%, $E$13)</f>
        <v>11.388400000000001</v>
      </c>
    </row>
    <row r="628" spans="1:11" ht="15">
      <c r="A628" s="13">
        <v>60237</v>
      </c>
      <c r="B628" s="66">
        <f>9.7745 * CHOOSE(CONTROL!$C$23, $C$13, 100%, $E$13)</f>
        <v>9.7744999999999997</v>
      </c>
      <c r="C628" s="66">
        <f>9.7745 * CHOOSE(CONTROL!$C$23, $C$13, 100%, $E$13)</f>
        <v>9.7744999999999997</v>
      </c>
      <c r="D628" s="66">
        <f>9.7784 * CHOOSE(CONTROL!$C$23, $C$13, 100%, $E$13)</f>
        <v>9.7783999999999995</v>
      </c>
      <c r="E628" s="67">
        <f>11.2827 * CHOOSE(CONTROL!$C$23, $C$13, 100%, $E$13)</f>
        <v>11.2827</v>
      </c>
      <c r="F628" s="67">
        <f>11.2827 * CHOOSE(CONTROL!$C$23, $C$13, 100%, $E$13)</f>
        <v>11.2827</v>
      </c>
      <c r="G628" s="67">
        <f>11.2875 * CHOOSE(CONTROL!$C$23, $C$13, 100%, $E$13)</f>
        <v>11.2875</v>
      </c>
      <c r="H628" s="67">
        <f>21.0047* CHOOSE(CONTROL!$C$23, $C$13, 100%, $E$13)</f>
        <v>21.0047</v>
      </c>
      <c r="I628" s="67">
        <f>21.0095 * CHOOSE(CONTROL!$C$23, $C$13, 100%, $E$13)</f>
        <v>21.009499999999999</v>
      </c>
      <c r="J628" s="67">
        <f>11.2827 * CHOOSE(CONTROL!$C$23, $C$13, 100%, $E$13)</f>
        <v>11.2827</v>
      </c>
      <c r="K628" s="67">
        <f>11.2875 * CHOOSE(CONTROL!$C$23, $C$13, 100%, $E$13)</f>
        <v>11.2875</v>
      </c>
    </row>
    <row r="629" spans="1:11" ht="15">
      <c r="A629" s="13">
        <v>60268</v>
      </c>
      <c r="B629" s="66">
        <f>9.8385 * CHOOSE(CONTROL!$C$23, $C$13, 100%, $E$13)</f>
        <v>9.8384999999999998</v>
      </c>
      <c r="C629" s="66">
        <f>9.8385 * CHOOSE(CONTROL!$C$23, $C$13, 100%, $E$13)</f>
        <v>9.8384999999999998</v>
      </c>
      <c r="D629" s="66">
        <f>9.8423 * CHOOSE(CONTROL!$C$23, $C$13, 100%, $E$13)</f>
        <v>9.8422999999999998</v>
      </c>
      <c r="E629" s="67">
        <f>11.4279 * CHOOSE(CONTROL!$C$23, $C$13, 100%, $E$13)</f>
        <v>11.427899999999999</v>
      </c>
      <c r="F629" s="67">
        <f>11.4279 * CHOOSE(CONTROL!$C$23, $C$13, 100%, $E$13)</f>
        <v>11.427899999999999</v>
      </c>
      <c r="G629" s="67">
        <f>11.4327 * CHOOSE(CONTROL!$C$23, $C$13, 100%, $E$13)</f>
        <v>11.432700000000001</v>
      </c>
      <c r="H629" s="67">
        <f>21.0119* CHOOSE(CONTROL!$C$23, $C$13, 100%, $E$13)</f>
        <v>21.011900000000001</v>
      </c>
      <c r="I629" s="67">
        <f>21.0167 * CHOOSE(CONTROL!$C$23, $C$13, 100%, $E$13)</f>
        <v>21.0167</v>
      </c>
      <c r="J629" s="67">
        <f>11.4279 * CHOOSE(CONTROL!$C$23, $C$13, 100%, $E$13)</f>
        <v>11.427899999999999</v>
      </c>
      <c r="K629" s="67">
        <f>11.4327 * CHOOSE(CONTROL!$C$23, $C$13, 100%, $E$13)</f>
        <v>11.432700000000001</v>
      </c>
    </row>
    <row r="630" spans="1:11" ht="15">
      <c r="A630" s="13">
        <v>60299</v>
      </c>
      <c r="B630" s="66">
        <f>9.8354 * CHOOSE(CONTROL!$C$23, $C$13, 100%, $E$13)</f>
        <v>9.8353999999999999</v>
      </c>
      <c r="C630" s="66">
        <f>9.8354 * CHOOSE(CONTROL!$C$23, $C$13, 100%, $E$13)</f>
        <v>9.8353999999999999</v>
      </c>
      <c r="D630" s="66">
        <f>9.8393 * CHOOSE(CONTROL!$C$23, $C$13, 100%, $E$13)</f>
        <v>9.8392999999999997</v>
      </c>
      <c r="E630" s="67">
        <f>11.2301 * CHOOSE(CONTROL!$C$23, $C$13, 100%, $E$13)</f>
        <v>11.2301</v>
      </c>
      <c r="F630" s="67">
        <f>11.2301 * CHOOSE(CONTROL!$C$23, $C$13, 100%, $E$13)</f>
        <v>11.2301</v>
      </c>
      <c r="G630" s="67">
        <f>11.2349 * CHOOSE(CONTROL!$C$23, $C$13, 100%, $E$13)</f>
        <v>11.2349</v>
      </c>
      <c r="H630" s="67">
        <f>21.0557* CHOOSE(CONTROL!$C$23, $C$13, 100%, $E$13)</f>
        <v>21.055700000000002</v>
      </c>
      <c r="I630" s="67">
        <f>21.0604 * CHOOSE(CONTROL!$C$23, $C$13, 100%, $E$13)</f>
        <v>21.060400000000001</v>
      </c>
      <c r="J630" s="67">
        <f>11.2301 * CHOOSE(CONTROL!$C$23, $C$13, 100%, $E$13)</f>
        <v>11.2301</v>
      </c>
      <c r="K630" s="67">
        <f>11.2349 * CHOOSE(CONTROL!$C$23, $C$13, 100%, $E$13)</f>
        <v>11.2349</v>
      </c>
    </row>
    <row r="631" spans="1:11" ht="15">
      <c r="A631" s="13">
        <v>60327</v>
      </c>
      <c r="B631" s="66">
        <f>9.8324 * CHOOSE(CONTROL!$C$23, $C$13, 100%, $E$13)</f>
        <v>9.8323999999999998</v>
      </c>
      <c r="C631" s="66">
        <f>9.8324 * CHOOSE(CONTROL!$C$23, $C$13, 100%, $E$13)</f>
        <v>9.8323999999999998</v>
      </c>
      <c r="D631" s="66">
        <f>9.8363 * CHOOSE(CONTROL!$C$23, $C$13, 100%, $E$13)</f>
        <v>9.8362999999999996</v>
      </c>
      <c r="E631" s="67">
        <f>11.3823 * CHOOSE(CONTROL!$C$23, $C$13, 100%, $E$13)</f>
        <v>11.382300000000001</v>
      </c>
      <c r="F631" s="67">
        <f>11.3823 * CHOOSE(CONTROL!$C$23, $C$13, 100%, $E$13)</f>
        <v>11.382300000000001</v>
      </c>
      <c r="G631" s="67">
        <f>11.387 * CHOOSE(CONTROL!$C$23, $C$13, 100%, $E$13)</f>
        <v>11.387</v>
      </c>
      <c r="H631" s="67">
        <f>21.0995* CHOOSE(CONTROL!$C$23, $C$13, 100%, $E$13)</f>
        <v>21.099499999999999</v>
      </c>
      <c r="I631" s="67">
        <f>21.1043 * CHOOSE(CONTROL!$C$23, $C$13, 100%, $E$13)</f>
        <v>21.104299999999999</v>
      </c>
      <c r="J631" s="67">
        <f>11.3823 * CHOOSE(CONTROL!$C$23, $C$13, 100%, $E$13)</f>
        <v>11.382300000000001</v>
      </c>
      <c r="K631" s="67">
        <f>11.387 * CHOOSE(CONTROL!$C$23, $C$13, 100%, $E$13)</f>
        <v>11.387</v>
      </c>
    </row>
    <row r="632" spans="1:11" ht="15">
      <c r="A632" s="13">
        <v>60358</v>
      </c>
      <c r="B632" s="66">
        <f>9.835 * CHOOSE(CONTROL!$C$23, $C$13, 100%, $E$13)</f>
        <v>9.8350000000000009</v>
      </c>
      <c r="C632" s="66">
        <f>9.835 * CHOOSE(CONTROL!$C$23, $C$13, 100%, $E$13)</f>
        <v>9.8350000000000009</v>
      </c>
      <c r="D632" s="66">
        <f>9.8388 * CHOOSE(CONTROL!$C$23, $C$13, 100%, $E$13)</f>
        <v>9.8388000000000009</v>
      </c>
      <c r="E632" s="67">
        <f>11.5437 * CHOOSE(CONTROL!$C$23, $C$13, 100%, $E$13)</f>
        <v>11.543699999999999</v>
      </c>
      <c r="F632" s="67">
        <f>11.5437 * CHOOSE(CONTROL!$C$23, $C$13, 100%, $E$13)</f>
        <v>11.543699999999999</v>
      </c>
      <c r="G632" s="67">
        <f>11.5485 * CHOOSE(CONTROL!$C$23, $C$13, 100%, $E$13)</f>
        <v>11.548500000000001</v>
      </c>
      <c r="H632" s="67">
        <f>21.1435* CHOOSE(CONTROL!$C$23, $C$13, 100%, $E$13)</f>
        <v>21.1435</v>
      </c>
      <c r="I632" s="67">
        <f>21.1483 * CHOOSE(CONTROL!$C$23, $C$13, 100%, $E$13)</f>
        <v>21.148299999999999</v>
      </c>
      <c r="J632" s="67">
        <f>11.5437 * CHOOSE(CONTROL!$C$23, $C$13, 100%, $E$13)</f>
        <v>11.543699999999999</v>
      </c>
      <c r="K632" s="67">
        <f>11.5485 * CHOOSE(CONTROL!$C$23, $C$13, 100%, $E$13)</f>
        <v>11.548500000000001</v>
      </c>
    </row>
    <row r="633" spans="1:11" ht="15">
      <c r="A633" s="13">
        <v>60388</v>
      </c>
      <c r="B633" s="66">
        <f>9.835 * CHOOSE(CONTROL!$C$23, $C$13, 100%, $E$13)</f>
        <v>9.8350000000000009</v>
      </c>
      <c r="C633" s="66">
        <f>9.835 * CHOOSE(CONTROL!$C$23, $C$13, 100%, $E$13)</f>
        <v>9.8350000000000009</v>
      </c>
      <c r="D633" s="66">
        <f>9.8405 * CHOOSE(CONTROL!$C$23, $C$13, 100%, $E$13)</f>
        <v>9.8405000000000005</v>
      </c>
      <c r="E633" s="67">
        <f>11.6059 * CHOOSE(CONTROL!$C$23, $C$13, 100%, $E$13)</f>
        <v>11.6059</v>
      </c>
      <c r="F633" s="67">
        <f>11.6059 * CHOOSE(CONTROL!$C$23, $C$13, 100%, $E$13)</f>
        <v>11.6059</v>
      </c>
      <c r="G633" s="67">
        <f>11.6126 * CHOOSE(CONTROL!$C$23, $C$13, 100%, $E$13)</f>
        <v>11.6126</v>
      </c>
      <c r="H633" s="67">
        <f>21.1875* CHOOSE(CONTROL!$C$23, $C$13, 100%, $E$13)</f>
        <v>21.1875</v>
      </c>
      <c r="I633" s="67">
        <f>21.1943 * CHOOSE(CONTROL!$C$23, $C$13, 100%, $E$13)</f>
        <v>21.194299999999998</v>
      </c>
      <c r="J633" s="67">
        <f>11.6059 * CHOOSE(CONTROL!$C$23, $C$13, 100%, $E$13)</f>
        <v>11.6059</v>
      </c>
      <c r="K633" s="67">
        <f>11.6126 * CHOOSE(CONTROL!$C$23, $C$13, 100%, $E$13)</f>
        <v>11.6126</v>
      </c>
    </row>
    <row r="634" spans="1:11" ht="15">
      <c r="A634" s="13">
        <v>60419</v>
      </c>
      <c r="B634" s="66">
        <f>9.841 * CHOOSE(CONTROL!$C$23, $C$13, 100%, $E$13)</f>
        <v>9.8409999999999993</v>
      </c>
      <c r="C634" s="66">
        <f>9.841 * CHOOSE(CONTROL!$C$23, $C$13, 100%, $E$13)</f>
        <v>9.8409999999999993</v>
      </c>
      <c r="D634" s="66">
        <f>9.8466 * CHOOSE(CONTROL!$C$23, $C$13, 100%, $E$13)</f>
        <v>9.8466000000000005</v>
      </c>
      <c r="E634" s="67">
        <f>11.548 * CHOOSE(CONTROL!$C$23, $C$13, 100%, $E$13)</f>
        <v>11.548</v>
      </c>
      <c r="F634" s="67">
        <f>11.548 * CHOOSE(CONTROL!$C$23, $C$13, 100%, $E$13)</f>
        <v>11.548</v>
      </c>
      <c r="G634" s="67">
        <f>11.5547 * CHOOSE(CONTROL!$C$23, $C$13, 100%, $E$13)</f>
        <v>11.5547</v>
      </c>
      <c r="H634" s="67">
        <f>21.2317* CHOOSE(CONTROL!$C$23, $C$13, 100%, $E$13)</f>
        <v>21.2317</v>
      </c>
      <c r="I634" s="67">
        <f>21.2384 * CHOOSE(CONTROL!$C$23, $C$13, 100%, $E$13)</f>
        <v>21.238399999999999</v>
      </c>
      <c r="J634" s="67">
        <f>11.548 * CHOOSE(CONTROL!$C$23, $C$13, 100%, $E$13)</f>
        <v>11.548</v>
      </c>
      <c r="K634" s="67">
        <f>11.5547 * CHOOSE(CONTROL!$C$23, $C$13, 100%, $E$13)</f>
        <v>11.5547</v>
      </c>
    </row>
    <row r="635" spans="1:11" ht="15">
      <c r="A635" s="13">
        <v>60449</v>
      </c>
      <c r="B635" s="66">
        <f>9.9932 * CHOOSE(CONTROL!$C$23, $C$13, 100%, $E$13)</f>
        <v>9.9931999999999999</v>
      </c>
      <c r="C635" s="66">
        <f>9.9932 * CHOOSE(CONTROL!$C$23, $C$13, 100%, $E$13)</f>
        <v>9.9931999999999999</v>
      </c>
      <c r="D635" s="66">
        <f>9.9987 * CHOOSE(CONTROL!$C$23, $C$13, 100%, $E$13)</f>
        <v>9.9986999999999995</v>
      </c>
      <c r="E635" s="67">
        <f>11.735 * CHOOSE(CONTROL!$C$23, $C$13, 100%, $E$13)</f>
        <v>11.734999999999999</v>
      </c>
      <c r="F635" s="67">
        <f>11.735 * CHOOSE(CONTROL!$C$23, $C$13, 100%, $E$13)</f>
        <v>11.734999999999999</v>
      </c>
      <c r="G635" s="67">
        <f>11.7417 * CHOOSE(CONTROL!$C$23, $C$13, 100%, $E$13)</f>
        <v>11.7417</v>
      </c>
      <c r="H635" s="67">
        <f>21.2759* CHOOSE(CONTROL!$C$23, $C$13, 100%, $E$13)</f>
        <v>21.2759</v>
      </c>
      <c r="I635" s="67">
        <f>21.2827 * CHOOSE(CONTROL!$C$23, $C$13, 100%, $E$13)</f>
        <v>21.282699999999998</v>
      </c>
      <c r="J635" s="67">
        <f>11.735 * CHOOSE(CONTROL!$C$23, $C$13, 100%, $E$13)</f>
        <v>11.734999999999999</v>
      </c>
      <c r="K635" s="67">
        <f>11.7417 * CHOOSE(CONTROL!$C$23, $C$13, 100%, $E$13)</f>
        <v>11.7417</v>
      </c>
    </row>
    <row r="636" spans="1:11" ht="15">
      <c r="A636" s="13">
        <v>60480</v>
      </c>
      <c r="B636" s="66">
        <f>9.9999 * CHOOSE(CONTROL!$C$23, $C$13, 100%, $E$13)</f>
        <v>9.9999000000000002</v>
      </c>
      <c r="C636" s="66">
        <f>9.9999 * CHOOSE(CONTROL!$C$23, $C$13, 100%, $E$13)</f>
        <v>9.9999000000000002</v>
      </c>
      <c r="D636" s="66">
        <f>10.0054 * CHOOSE(CONTROL!$C$23, $C$13, 100%, $E$13)</f>
        <v>10.0054</v>
      </c>
      <c r="E636" s="67">
        <f>11.5532 * CHOOSE(CONTROL!$C$23, $C$13, 100%, $E$13)</f>
        <v>11.5532</v>
      </c>
      <c r="F636" s="67">
        <f>11.5532 * CHOOSE(CONTROL!$C$23, $C$13, 100%, $E$13)</f>
        <v>11.5532</v>
      </c>
      <c r="G636" s="67">
        <f>11.56 * CHOOSE(CONTROL!$C$23, $C$13, 100%, $E$13)</f>
        <v>11.56</v>
      </c>
      <c r="H636" s="67">
        <f>21.3202* CHOOSE(CONTROL!$C$23, $C$13, 100%, $E$13)</f>
        <v>21.3202</v>
      </c>
      <c r="I636" s="67">
        <f>21.327 * CHOOSE(CONTROL!$C$23, $C$13, 100%, $E$13)</f>
        <v>21.327000000000002</v>
      </c>
      <c r="J636" s="67">
        <f>11.5532 * CHOOSE(CONTROL!$C$23, $C$13, 100%, $E$13)</f>
        <v>11.5532</v>
      </c>
      <c r="K636" s="67">
        <f>11.56 * CHOOSE(CONTROL!$C$23, $C$13, 100%, $E$13)</f>
        <v>11.56</v>
      </c>
    </row>
    <row r="637" spans="1:11" ht="15">
      <c r="A637" s="13">
        <v>60511</v>
      </c>
      <c r="B637" s="66">
        <f>9.9968 * CHOOSE(CONTROL!$C$23, $C$13, 100%, $E$13)</f>
        <v>9.9968000000000004</v>
      </c>
      <c r="C637" s="66">
        <f>9.9968 * CHOOSE(CONTROL!$C$23, $C$13, 100%, $E$13)</f>
        <v>9.9968000000000004</v>
      </c>
      <c r="D637" s="66">
        <f>10.0023 * CHOOSE(CONTROL!$C$23, $C$13, 100%, $E$13)</f>
        <v>10.0023</v>
      </c>
      <c r="E637" s="67">
        <f>11.5304 * CHOOSE(CONTROL!$C$23, $C$13, 100%, $E$13)</f>
        <v>11.5304</v>
      </c>
      <c r="F637" s="67">
        <f>11.5304 * CHOOSE(CONTROL!$C$23, $C$13, 100%, $E$13)</f>
        <v>11.5304</v>
      </c>
      <c r="G637" s="67">
        <f>11.5371 * CHOOSE(CONTROL!$C$23, $C$13, 100%, $E$13)</f>
        <v>11.537100000000001</v>
      </c>
      <c r="H637" s="67">
        <f>21.3647* CHOOSE(CONTROL!$C$23, $C$13, 100%, $E$13)</f>
        <v>21.364699999999999</v>
      </c>
      <c r="I637" s="67">
        <f>21.3714 * CHOOSE(CONTROL!$C$23, $C$13, 100%, $E$13)</f>
        <v>21.371400000000001</v>
      </c>
      <c r="J637" s="67">
        <f>11.5304 * CHOOSE(CONTROL!$C$23, $C$13, 100%, $E$13)</f>
        <v>11.5304</v>
      </c>
      <c r="K637" s="67">
        <f>11.5371 * CHOOSE(CONTROL!$C$23, $C$13, 100%, $E$13)</f>
        <v>11.537100000000001</v>
      </c>
    </row>
    <row r="638" spans="1:11" ht="15">
      <c r="A638" s="13">
        <v>60541</v>
      </c>
      <c r="B638" s="66">
        <f>10.0114 * CHOOSE(CONTROL!$C$23, $C$13, 100%, $E$13)</f>
        <v>10.0114</v>
      </c>
      <c r="C638" s="66">
        <f>10.0114 * CHOOSE(CONTROL!$C$23, $C$13, 100%, $E$13)</f>
        <v>10.0114</v>
      </c>
      <c r="D638" s="66">
        <f>10.0153 * CHOOSE(CONTROL!$C$23, $C$13, 100%, $E$13)</f>
        <v>10.0153</v>
      </c>
      <c r="E638" s="67">
        <f>11.5998 * CHOOSE(CONTROL!$C$23, $C$13, 100%, $E$13)</f>
        <v>11.5998</v>
      </c>
      <c r="F638" s="67">
        <f>11.5998 * CHOOSE(CONTROL!$C$23, $C$13, 100%, $E$13)</f>
        <v>11.5998</v>
      </c>
      <c r="G638" s="67">
        <f>11.6046 * CHOOSE(CONTROL!$C$23, $C$13, 100%, $E$13)</f>
        <v>11.6046</v>
      </c>
      <c r="H638" s="67">
        <f>21.4092* CHOOSE(CONTROL!$C$23, $C$13, 100%, $E$13)</f>
        <v>21.409199999999998</v>
      </c>
      <c r="I638" s="67">
        <f>21.4139 * CHOOSE(CONTROL!$C$23, $C$13, 100%, $E$13)</f>
        <v>21.413900000000002</v>
      </c>
      <c r="J638" s="67">
        <f>11.5998 * CHOOSE(CONTROL!$C$23, $C$13, 100%, $E$13)</f>
        <v>11.5998</v>
      </c>
      <c r="K638" s="67">
        <f>11.6046 * CHOOSE(CONTROL!$C$23, $C$13, 100%, $E$13)</f>
        <v>11.6046</v>
      </c>
    </row>
    <row r="639" spans="1:11" ht="15">
      <c r="A639" s="13">
        <v>60572</v>
      </c>
      <c r="B639" s="66">
        <f>10.0144 * CHOOSE(CONTROL!$C$23, $C$13, 100%, $E$13)</f>
        <v>10.0144</v>
      </c>
      <c r="C639" s="66">
        <f>10.0144 * CHOOSE(CONTROL!$C$23, $C$13, 100%, $E$13)</f>
        <v>10.0144</v>
      </c>
      <c r="D639" s="66">
        <f>10.0183 * CHOOSE(CONTROL!$C$23, $C$13, 100%, $E$13)</f>
        <v>10.0183</v>
      </c>
      <c r="E639" s="67">
        <f>11.6434 * CHOOSE(CONTROL!$C$23, $C$13, 100%, $E$13)</f>
        <v>11.6434</v>
      </c>
      <c r="F639" s="67">
        <f>11.6434 * CHOOSE(CONTROL!$C$23, $C$13, 100%, $E$13)</f>
        <v>11.6434</v>
      </c>
      <c r="G639" s="67">
        <f>11.6481 * CHOOSE(CONTROL!$C$23, $C$13, 100%, $E$13)</f>
        <v>11.648099999999999</v>
      </c>
      <c r="H639" s="67">
        <f>21.4538* CHOOSE(CONTROL!$C$23, $C$13, 100%, $E$13)</f>
        <v>21.453800000000001</v>
      </c>
      <c r="I639" s="67">
        <f>21.4585 * CHOOSE(CONTROL!$C$23, $C$13, 100%, $E$13)</f>
        <v>21.458500000000001</v>
      </c>
      <c r="J639" s="67">
        <f>11.6434 * CHOOSE(CONTROL!$C$23, $C$13, 100%, $E$13)</f>
        <v>11.6434</v>
      </c>
      <c r="K639" s="67">
        <f>11.6481 * CHOOSE(CONTROL!$C$23, $C$13, 100%, $E$13)</f>
        <v>11.648099999999999</v>
      </c>
    </row>
    <row r="640" spans="1:11" ht="15">
      <c r="A640" s="13">
        <v>60602</v>
      </c>
      <c r="B640" s="66">
        <f>10.0144 * CHOOSE(CONTROL!$C$23, $C$13, 100%, $E$13)</f>
        <v>10.0144</v>
      </c>
      <c r="C640" s="66">
        <f>10.0144 * CHOOSE(CONTROL!$C$23, $C$13, 100%, $E$13)</f>
        <v>10.0144</v>
      </c>
      <c r="D640" s="66">
        <f>10.0183 * CHOOSE(CONTROL!$C$23, $C$13, 100%, $E$13)</f>
        <v>10.0183</v>
      </c>
      <c r="E640" s="67">
        <f>11.5398 * CHOOSE(CONTROL!$C$23, $C$13, 100%, $E$13)</f>
        <v>11.5398</v>
      </c>
      <c r="F640" s="67">
        <f>11.5398 * CHOOSE(CONTROL!$C$23, $C$13, 100%, $E$13)</f>
        <v>11.5398</v>
      </c>
      <c r="G640" s="67">
        <f>11.5446 * CHOOSE(CONTROL!$C$23, $C$13, 100%, $E$13)</f>
        <v>11.544600000000001</v>
      </c>
      <c r="H640" s="67">
        <f>21.4985* CHOOSE(CONTROL!$C$23, $C$13, 100%, $E$13)</f>
        <v>21.4985</v>
      </c>
      <c r="I640" s="67">
        <f>21.5032 * CHOOSE(CONTROL!$C$23, $C$13, 100%, $E$13)</f>
        <v>21.5032</v>
      </c>
      <c r="J640" s="67">
        <f>11.5398 * CHOOSE(CONTROL!$C$23, $C$13, 100%, $E$13)</f>
        <v>11.5398</v>
      </c>
      <c r="K640" s="67">
        <f>11.5446 * CHOOSE(CONTROL!$C$23, $C$13, 100%, $E$13)</f>
        <v>11.544600000000001</v>
      </c>
    </row>
    <row r="641" spans="1:11" ht="15">
      <c r="A641" s="13">
        <v>60633</v>
      </c>
      <c r="B641" s="66">
        <f>10.074 * CHOOSE(CONTROL!$C$23, $C$13, 100%, $E$13)</f>
        <v>10.074</v>
      </c>
      <c r="C641" s="66">
        <f>10.074 * CHOOSE(CONTROL!$C$23, $C$13, 100%, $E$13)</f>
        <v>10.074</v>
      </c>
      <c r="D641" s="66">
        <f>10.0779 * CHOOSE(CONTROL!$C$23, $C$13, 100%, $E$13)</f>
        <v>10.0779</v>
      </c>
      <c r="E641" s="67">
        <f>11.6826 * CHOOSE(CONTROL!$C$23, $C$13, 100%, $E$13)</f>
        <v>11.682600000000001</v>
      </c>
      <c r="F641" s="67">
        <f>11.6826 * CHOOSE(CONTROL!$C$23, $C$13, 100%, $E$13)</f>
        <v>11.682600000000001</v>
      </c>
      <c r="G641" s="67">
        <f>11.6874 * CHOOSE(CONTROL!$C$23, $C$13, 100%, $E$13)</f>
        <v>11.6874</v>
      </c>
      <c r="H641" s="67">
        <f>21.4944* CHOOSE(CONTROL!$C$23, $C$13, 100%, $E$13)</f>
        <v>21.494399999999999</v>
      </c>
      <c r="I641" s="67">
        <f>21.4992 * CHOOSE(CONTROL!$C$23, $C$13, 100%, $E$13)</f>
        <v>21.499199999999998</v>
      </c>
      <c r="J641" s="67">
        <f>11.6826 * CHOOSE(CONTROL!$C$23, $C$13, 100%, $E$13)</f>
        <v>11.682600000000001</v>
      </c>
      <c r="K641" s="67">
        <f>11.6874 * CHOOSE(CONTROL!$C$23, $C$13, 100%, $E$13)</f>
        <v>11.6874</v>
      </c>
    </row>
    <row r="642" spans="1:11" ht="15">
      <c r="A642" s="13">
        <v>60664</v>
      </c>
      <c r="B642" s="66">
        <f>10.071 * CHOOSE(CONTROL!$C$23, $C$13, 100%, $E$13)</f>
        <v>10.071</v>
      </c>
      <c r="C642" s="66">
        <f>10.071 * CHOOSE(CONTROL!$C$23, $C$13, 100%, $E$13)</f>
        <v>10.071</v>
      </c>
      <c r="D642" s="66">
        <f>10.0749 * CHOOSE(CONTROL!$C$23, $C$13, 100%, $E$13)</f>
        <v>10.0749</v>
      </c>
      <c r="E642" s="67">
        <f>11.4799 * CHOOSE(CONTROL!$C$23, $C$13, 100%, $E$13)</f>
        <v>11.479900000000001</v>
      </c>
      <c r="F642" s="67">
        <f>11.4799 * CHOOSE(CONTROL!$C$23, $C$13, 100%, $E$13)</f>
        <v>11.479900000000001</v>
      </c>
      <c r="G642" s="67">
        <f>11.4846 * CHOOSE(CONTROL!$C$23, $C$13, 100%, $E$13)</f>
        <v>11.4846</v>
      </c>
      <c r="H642" s="67">
        <f>21.5392* CHOOSE(CONTROL!$C$23, $C$13, 100%, $E$13)</f>
        <v>21.539200000000001</v>
      </c>
      <c r="I642" s="67">
        <f>21.544 * CHOOSE(CONTROL!$C$23, $C$13, 100%, $E$13)</f>
        <v>21.544</v>
      </c>
      <c r="J642" s="67">
        <f>11.4799 * CHOOSE(CONTROL!$C$23, $C$13, 100%, $E$13)</f>
        <v>11.479900000000001</v>
      </c>
      <c r="K642" s="67">
        <f>11.4846 * CHOOSE(CONTROL!$C$23, $C$13, 100%, $E$13)</f>
        <v>11.4846</v>
      </c>
    </row>
    <row r="643" spans="1:11" ht="15">
      <c r="A643" s="13">
        <v>60692</v>
      </c>
      <c r="B643" s="66">
        <f>10.068 * CHOOSE(CONTROL!$C$23, $C$13, 100%, $E$13)</f>
        <v>10.068</v>
      </c>
      <c r="C643" s="66">
        <f>10.068 * CHOOSE(CONTROL!$C$23, $C$13, 100%, $E$13)</f>
        <v>10.068</v>
      </c>
      <c r="D643" s="66">
        <f>10.0718 * CHOOSE(CONTROL!$C$23, $C$13, 100%, $E$13)</f>
        <v>10.0718</v>
      </c>
      <c r="E643" s="67">
        <f>11.6359 * CHOOSE(CONTROL!$C$23, $C$13, 100%, $E$13)</f>
        <v>11.635899999999999</v>
      </c>
      <c r="F643" s="67">
        <f>11.6359 * CHOOSE(CONTROL!$C$23, $C$13, 100%, $E$13)</f>
        <v>11.635899999999999</v>
      </c>
      <c r="G643" s="67">
        <f>11.6407 * CHOOSE(CONTROL!$C$23, $C$13, 100%, $E$13)</f>
        <v>11.640700000000001</v>
      </c>
      <c r="H643" s="67">
        <f>21.5841* CHOOSE(CONTROL!$C$23, $C$13, 100%, $E$13)</f>
        <v>21.584099999999999</v>
      </c>
      <c r="I643" s="67">
        <f>21.5889 * CHOOSE(CONTROL!$C$23, $C$13, 100%, $E$13)</f>
        <v>21.588899999999999</v>
      </c>
      <c r="J643" s="67">
        <f>11.6359 * CHOOSE(CONTROL!$C$23, $C$13, 100%, $E$13)</f>
        <v>11.635899999999999</v>
      </c>
      <c r="K643" s="67">
        <f>11.6407 * CHOOSE(CONTROL!$C$23, $C$13, 100%, $E$13)</f>
        <v>11.640700000000001</v>
      </c>
    </row>
    <row r="644" spans="1:11" ht="15">
      <c r="A644" s="13">
        <v>60723</v>
      </c>
      <c r="B644" s="66">
        <f>10.0707 * CHOOSE(CONTROL!$C$23, $C$13, 100%, $E$13)</f>
        <v>10.0707</v>
      </c>
      <c r="C644" s="66">
        <f>10.0707 * CHOOSE(CONTROL!$C$23, $C$13, 100%, $E$13)</f>
        <v>10.0707</v>
      </c>
      <c r="D644" s="66">
        <f>10.0746 * CHOOSE(CONTROL!$C$23, $C$13, 100%, $E$13)</f>
        <v>10.0746</v>
      </c>
      <c r="E644" s="67">
        <f>11.8016 * CHOOSE(CONTROL!$C$23, $C$13, 100%, $E$13)</f>
        <v>11.801600000000001</v>
      </c>
      <c r="F644" s="67">
        <f>11.8016 * CHOOSE(CONTROL!$C$23, $C$13, 100%, $E$13)</f>
        <v>11.801600000000001</v>
      </c>
      <c r="G644" s="67">
        <f>11.8063 * CHOOSE(CONTROL!$C$23, $C$13, 100%, $E$13)</f>
        <v>11.8063</v>
      </c>
      <c r="H644" s="67">
        <f>21.6291* CHOOSE(CONTROL!$C$23, $C$13, 100%, $E$13)</f>
        <v>21.629100000000001</v>
      </c>
      <c r="I644" s="67">
        <f>21.6338 * CHOOSE(CONTROL!$C$23, $C$13, 100%, $E$13)</f>
        <v>21.633800000000001</v>
      </c>
      <c r="J644" s="67">
        <f>11.8016 * CHOOSE(CONTROL!$C$23, $C$13, 100%, $E$13)</f>
        <v>11.801600000000001</v>
      </c>
      <c r="K644" s="67">
        <f>11.8063 * CHOOSE(CONTROL!$C$23, $C$13, 100%, $E$13)</f>
        <v>11.8063</v>
      </c>
    </row>
    <row r="645" spans="1:11" ht="15">
      <c r="A645" s="13">
        <v>60753</v>
      </c>
      <c r="B645" s="66">
        <f>10.0707 * CHOOSE(CONTROL!$C$23, $C$13, 100%, $E$13)</f>
        <v>10.0707</v>
      </c>
      <c r="C645" s="66">
        <f>10.0707 * CHOOSE(CONTROL!$C$23, $C$13, 100%, $E$13)</f>
        <v>10.0707</v>
      </c>
      <c r="D645" s="66">
        <f>10.0762 * CHOOSE(CONTROL!$C$23, $C$13, 100%, $E$13)</f>
        <v>10.0762</v>
      </c>
      <c r="E645" s="67">
        <f>11.8653 * CHOOSE(CONTROL!$C$23, $C$13, 100%, $E$13)</f>
        <v>11.8653</v>
      </c>
      <c r="F645" s="67">
        <f>11.8653 * CHOOSE(CONTROL!$C$23, $C$13, 100%, $E$13)</f>
        <v>11.8653</v>
      </c>
      <c r="G645" s="67">
        <f>11.872 * CHOOSE(CONTROL!$C$23, $C$13, 100%, $E$13)</f>
        <v>11.872</v>
      </c>
      <c r="H645" s="67">
        <f>21.6741* CHOOSE(CONTROL!$C$23, $C$13, 100%, $E$13)</f>
        <v>21.674099999999999</v>
      </c>
      <c r="I645" s="67">
        <f>21.6809 * CHOOSE(CONTROL!$C$23, $C$13, 100%, $E$13)</f>
        <v>21.680900000000001</v>
      </c>
      <c r="J645" s="67">
        <f>11.8653 * CHOOSE(CONTROL!$C$23, $C$13, 100%, $E$13)</f>
        <v>11.8653</v>
      </c>
      <c r="K645" s="67">
        <f>11.872 * CHOOSE(CONTROL!$C$23, $C$13, 100%, $E$13)</f>
        <v>11.872</v>
      </c>
    </row>
    <row r="646" spans="1:11" ht="15">
      <c r="A646" s="13">
        <v>60784</v>
      </c>
      <c r="B646" s="66">
        <f>10.0768 * CHOOSE(CONTROL!$C$23, $C$13, 100%, $E$13)</f>
        <v>10.0768</v>
      </c>
      <c r="C646" s="66">
        <f>10.0768 * CHOOSE(CONTROL!$C$23, $C$13, 100%, $E$13)</f>
        <v>10.0768</v>
      </c>
      <c r="D646" s="66">
        <f>10.0823 * CHOOSE(CONTROL!$C$23, $C$13, 100%, $E$13)</f>
        <v>10.0823</v>
      </c>
      <c r="E646" s="67">
        <f>11.8058 * CHOOSE(CONTROL!$C$23, $C$13, 100%, $E$13)</f>
        <v>11.8058</v>
      </c>
      <c r="F646" s="67">
        <f>11.8058 * CHOOSE(CONTROL!$C$23, $C$13, 100%, $E$13)</f>
        <v>11.8058</v>
      </c>
      <c r="G646" s="67">
        <f>11.8126 * CHOOSE(CONTROL!$C$23, $C$13, 100%, $E$13)</f>
        <v>11.8126</v>
      </c>
      <c r="H646" s="67">
        <f>21.7193* CHOOSE(CONTROL!$C$23, $C$13, 100%, $E$13)</f>
        <v>21.7193</v>
      </c>
      <c r="I646" s="67">
        <f>21.726 * CHOOSE(CONTROL!$C$23, $C$13, 100%, $E$13)</f>
        <v>21.725999999999999</v>
      </c>
      <c r="J646" s="67">
        <f>11.8058 * CHOOSE(CONTROL!$C$23, $C$13, 100%, $E$13)</f>
        <v>11.8058</v>
      </c>
      <c r="K646" s="67">
        <f>11.8126 * CHOOSE(CONTROL!$C$23, $C$13, 100%, $E$13)</f>
        <v>11.8126</v>
      </c>
    </row>
    <row r="647" spans="1:11" ht="15">
      <c r="A647" s="13">
        <v>60814</v>
      </c>
      <c r="B647" s="66">
        <f>10.2324 * CHOOSE(CONTROL!$C$23, $C$13, 100%, $E$13)</f>
        <v>10.2324</v>
      </c>
      <c r="C647" s="66">
        <f>10.2324 * CHOOSE(CONTROL!$C$23, $C$13, 100%, $E$13)</f>
        <v>10.2324</v>
      </c>
      <c r="D647" s="66">
        <f>10.2379 * CHOOSE(CONTROL!$C$23, $C$13, 100%, $E$13)</f>
        <v>10.2379</v>
      </c>
      <c r="E647" s="67">
        <f>11.9967 * CHOOSE(CONTROL!$C$23, $C$13, 100%, $E$13)</f>
        <v>11.996700000000001</v>
      </c>
      <c r="F647" s="67">
        <f>11.9967 * CHOOSE(CONTROL!$C$23, $C$13, 100%, $E$13)</f>
        <v>11.996700000000001</v>
      </c>
      <c r="G647" s="67">
        <f>12.0035 * CHOOSE(CONTROL!$C$23, $C$13, 100%, $E$13)</f>
        <v>12.003500000000001</v>
      </c>
      <c r="H647" s="67">
        <f>21.7645* CHOOSE(CONTROL!$C$23, $C$13, 100%, $E$13)</f>
        <v>21.764500000000002</v>
      </c>
      <c r="I647" s="67">
        <f>21.7713 * CHOOSE(CONTROL!$C$23, $C$13, 100%, $E$13)</f>
        <v>21.7713</v>
      </c>
      <c r="J647" s="67">
        <f>11.9967 * CHOOSE(CONTROL!$C$23, $C$13, 100%, $E$13)</f>
        <v>11.996700000000001</v>
      </c>
      <c r="K647" s="67">
        <f>12.0035 * CHOOSE(CONTROL!$C$23, $C$13, 100%, $E$13)</f>
        <v>12.003500000000001</v>
      </c>
    </row>
    <row r="648" spans="1:11" ht="15">
      <c r="A648" s="13">
        <v>60845</v>
      </c>
      <c r="B648" s="66">
        <f>10.2391 * CHOOSE(CONTROL!$C$23, $C$13, 100%, $E$13)</f>
        <v>10.239100000000001</v>
      </c>
      <c r="C648" s="66">
        <f>10.2391 * CHOOSE(CONTROL!$C$23, $C$13, 100%, $E$13)</f>
        <v>10.239100000000001</v>
      </c>
      <c r="D648" s="66">
        <f>10.2446 * CHOOSE(CONTROL!$C$23, $C$13, 100%, $E$13)</f>
        <v>10.2446</v>
      </c>
      <c r="E648" s="67">
        <f>11.8103 * CHOOSE(CONTROL!$C$23, $C$13, 100%, $E$13)</f>
        <v>11.8103</v>
      </c>
      <c r="F648" s="67">
        <f>11.8103 * CHOOSE(CONTROL!$C$23, $C$13, 100%, $E$13)</f>
        <v>11.8103</v>
      </c>
      <c r="G648" s="67">
        <f>11.817 * CHOOSE(CONTROL!$C$23, $C$13, 100%, $E$13)</f>
        <v>11.817</v>
      </c>
      <c r="H648" s="67">
        <f>21.8099* CHOOSE(CONTROL!$C$23, $C$13, 100%, $E$13)</f>
        <v>21.809899999999999</v>
      </c>
      <c r="I648" s="67">
        <f>21.8166 * CHOOSE(CONTROL!$C$23, $C$13, 100%, $E$13)</f>
        <v>21.816600000000001</v>
      </c>
      <c r="J648" s="67">
        <f>11.8103 * CHOOSE(CONTROL!$C$23, $C$13, 100%, $E$13)</f>
        <v>11.8103</v>
      </c>
      <c r="K648" s="67">
        <f>11.817 * CHOOSE(CONTROL!$C$23, $C$13, 100%, $E$13)</f>
        <v>11.817</v>
      </c>
    </row>
    <row r="649" spans="1:11" ht="15">
      <c r="A649" s="13">
        <v>60876</v>
      </c>
      <c r="B649" s="66">
        <f>10.236 * CHOOSE(CONTROL!$C$23, $C$13, 100%, $E$13)</f>
        <v>10.236000000000001</v>
      </c>
      <c r="C649" s="66">
        <f>10.236 * CHOOSE(CONTROL!$C$23, $C$13, 100%, $E$13)</f>
        <v>10.236000000000001</v>
      </c>
      <c r="D649" s="66">
        <f>10.2415 * CHOOSE(CONTROL!$C$23, $C$13, 100%, $E$13)</f>
        <v>10.2415</v>
      </c>
      <c r="E649" s="67">
        <f>11.7869 * CHOOSE(CONTROL!$C$23, $C$13, 100%, $E$13)</f>
        <v>11.786899999999999</v>
      </c>
      <c r="F649" s="67">
        <f>11.7869 * CHOOSE(CONTROL!$C$23, $C$13, 100%, $E$13)</f>
        <v>11.786899999999999</v>
      </c>
      <c r="G649" s="67">
        <f>11.7937 * CHOOSE(CONTROL!$C$23, $C$13, 100%, $E$13)</f>
        <v>11.793699999999999</v>
      </c>
      <c r="H649" s="67">
        <f>21.8553* CHOOSE(CONTROL!$C$23, $C$13, 100%, $E$13)</f>
        <v>21.8553</v>
      </c>
      <c r="I649" s="67">
        <f>21.862 * CHOOSE(CONTROL!$C$23, $C$13, 100%, $E$13)</f>
        <v>21.861999999999998</v>
      </c>
      <c r="J649" s="67">
        <f>11.7869 * CHOOSE(CONTROL!$C$23, $C$13, 100%, $E$13)</f>
        <v>11.786899999999999</v>
      </c>
      <c r="K649" s="67">
        <f>11.7937 * CHOOSE(CONTROL!$C$23, $C$13, 100%, $E$13)</f>
        <v>11.793699999999999</v>
      </c>
    </row>
    <row r="650" spans="1:11" ht="15">
      <c r="A650" s="13">
        <v>60906</v>
      </c>
      <c r="B650" s="66">
        <f>10.2513 * CHOOSE(CONTROL!$C$23, $C$13, 100%, $E$13)</f>
        <v>10.251300000000001</v>
      </c>
      <c r="C650" s="66">
        <f>10.2513 * CHOOSE(CONTROL!$C$23, $C$13, 100%, $E$13)</f>
        <v>10.251300000000001</v>
      </c>
      <c r="D650" s="66">
        <f>10.2552 * CHOOSE(CONTROL!$C$23, $C$13, 100%, $E$13)</f>
        <v>10.2552</v>
      </c>
      <c r="E650" s="67">
        <f>11.8585 * CHOOSE(CONTROL!$C$23, $C$13, 100%, $E$13)</f>
        <v>11.858499999999999</v>
      </c>
      <c r="F650" s="67">
        <f>11.8585 * CHOOSE(CONTROL!$C$23, $C$13, 100%, $E$13)</f>
        <v>11.858499999999999</v>
      </c>
      <c r="G650" s="67">
        <f>11.8632 * CHOOSE(CONTROL!$C$23, $C$13, 100%, $E$13)</f>
        <v>11.863200000000001</v>
      </c>
      <c r="H650" s="67">
        <f>21.9008* CHOOSE(CONTROL!$C$23, $C$13, 100%, $E$13)</f>
        <v>21.9008</v>
      </c>
      <c r="I650" s="67">
        <f>21.9056 * CHOOSE(CONTROL!$C$23, $C$13, 100%, $E$13)</f>
        <v>21.9056</v>
      </c>
      <c r="J650" s="67">
        <f>11.8585 * CHOOSE(CONTROL!$C$23, $C$13, 100%, $E$13)</f>
        <v>11.858499999999999</v>
      </c>
      <c r="K650" s="67">
        <f>11.8632 * CHOOSE(CONTROL!$C$23, $C$13, 100%, $E$13)</f>
        <v>11.863200000000001</v>
      </c>
    </row>
    <row r="651" spans="1:11" ht="15">
      <c r="A651" s="13">
        <v>60937</v>
      </c>
      <c r="B651" s="66">
        <f>10.2544 * CHOOSE(CONTROL!$C$23, $C$13, 100%, $E$13)</f>
        <v>10.2544</v>
      </c>
      <c r="C651" s="66">
        <f>10.2544 * CHOOSE(CONTROL!$C$23, $C$13, 100%, $E$13)</f>
        <v>10.2544</v>
      </c>
      <c r="D651" s="66">
        <f>10.2582 * CHOOSE(CONTROL!$C$23, $C$13, 100%, $E$13)</f>
        <v>10.2582</v>
      </c>
      <c r="E651" s="67">
        <f>11.903 * CHOOSE(CONTROL!$C$23, $C$13, 100%, $E$13)</f>
        <v>11.903</v>
      </c>
      <c r="F651" s="67">
        <f>11.903 * CHOOSE(CONTROL!$C$23, $C$13, 100%, $E$13)</f>
        <v>11.903</v>
      </c>
      <c r="G651" s="67">
        <f>11.9078 * CHOOSE(CONTROL!$C$23, $C$13, 100%, $E$13)</f>
        <v>11.9078</v>
      </c>
      <c r="H651" s="67">
        <f>21.9465* CHOOSE(CONTROL!$C$23, $C$13, 100%, $E$13)</f>
        <v>21.9465</v>
      </c>
      <c r="I651" s="67">
        <f>21.9512 * CHOOSE(CONTROL!$C$23, $C$13, 100%, $E$13)</f>
        <v>21.9512</v>
      </c>
      <c r="J651" s="67">
        <f>11.903 * CHOOSE(CONTROL!$C$23, $C$13, 100%, $E$13)</f>
        <v>11.903</v>
      </c>
      <c r="K651" s="67">
        <f>11.9078 * CHOOSE(CONTROL!$C$23, $C$13, 100%, $E$13)</f>
        <v>11.9078</v>
      </c>
    </row>
    <row r="652" spans="1:11" ht="15">
      <c r="A652" s="13">
        <v>60967</v>
      </c>
      <c r="B652" s="66">
        <f>10.2544 * CHOOSE(CONTROL!$C$23, $C$13, 100%, $E$13)</f>
        <v>10.2544</v>
      </c>
      <c r="C652" s="66">
        <f>10.2544 * CHOOSE(CONTROL!$C$23, $C$13, 100%, $E$13)</f>
        <v>10.2544</v>
      </c>
      <c r="D652" s="66">
        <f>10.2582 * CHOOSE(CONTROL!$C$23, $C$13, 100%, $E$13)</f>
        <v>10.2582</v>
      </c>
      <c r="E652" s="67">
        <f>11.7969 * CHOOSE(CONTROL!$C$23, $C$13, 100%, $E$13)</f>
        <v>11.796900000000001</v>
      </c>
      <c r="F652" s="67">
        <f>11.7969 * CHOOSE(CONTROL!$C$23, $C$13, 100%, $E$13)</f>
        <v>11.796900000000001</v>
      </c>
      <c r="G652" s="67">
        <f>11.8016 * CHOOSE(CONTROL!$C$23, $C$13, 100%, $E$13)</f>
        <v>11.801600000000001</v>
      </c>
      <c r="H652" s="67">
        <f>21.9922* CHOOSE(CONTROL!$C$23, $C$13, 100%, $E$13)</f>
        <v>21.9922</v>
      </c>
      <c r="I652" s="67">
        <f>21.997 * CHOOSE(CONTROL!$C$23, $C$13, 100%, $E$13)</f>
        <v>21.997</v>
      </c>
      <c r="J652" s="67">
        <f>11.7969 * CHOOSE(CONTROL!$C$23, $C$13, 100%, $E$13)</f>
        <v>11.796900000000001</v>
      </c>
      <c r="K652" s="67">
        <f>11.8016 * CHOOSE(CONTROL!$C$23, $C$13, 100%, $E$13)</f>
        <v>11.801600000000001</v>
      </c>
    </row>
    <row r="653" spans="1:11" ht="15">
      <c r="A653" s="13">
        <v>60998</v>
      </c>
      <c r="B653" s="66">
        <f>10.3096 * CHOOSE(CONTROL!$C$23, $C$13, 100%, $E$13)</f>
        <v>10.3096</v>
      </c>
      <c r="C653" s="66">
        <f>10.3096 * CHOOSE(CONTROL!$C$23, $C$13, 100%, $E$13)</f>
        <v>10.3096</v>
      </c>
      <c r="D653" s="66">
        <f>10.3135 * CHOOSE(CONTROL!$C$23, $C$13, 100%, $E$13)</f>
        <v>10.313499999999999</v>
      </c>
      <c r="E653" s="67">
        <f>11.9374 * CHOOSE(CONTROL!$C$23, $C$13, 100%, $E$13)</f>
        <v>11.9374</v>
      </c>
      <c r="F653" s="67">
        <f>11.9374 * CHOOSE(CONTROL!$C$23, $C$13, 100%, $E$13)</f>
        <v>11.9374</v>
      </c>
      <c r="G653" s="67">
        <f>11.9421 * CHOOSE(CONTROL!$C$23, $C$13, 100%, $E$13)</f>
        <v>11.9421</v>
      </c>
      <c r="H653" s="67">
        <f>21.977* CHOOSE(CONTROL!$C$23, $C$13, 100%, $E$13)</f>
        <v>21.977</v>
      </c>
      <c r="I653" s="67">
        <f>21.9818 * CHOOSE(CONTROL!$C$23, $C$13, 100%, $E$13)</f>
        <v>21.9818</v>
      </c>
      <c r="J653" s="67">
        <f>11.9374 * CHOOSE(CONTROL!$C$23, $C$13, 100%, $E$13)</f>
        <v>11.9374</v>
      </c>
      <c r="K653" s="67">
        <f>11.9421 * CHOOSE(CONTROL!$C$23, $C$13, 100%, $E$13)</f>
        <v>11.9421</v>
      </c>
    </row>
    <row r="654" spans="1:11" ht="15">
      <c r="A654" s="13">
        <v>61029</v>
      </c>
      <c r="B654" s="66">
        <f>10.3066 * CHOOSE(CONTROL!$C$23, $C$13, 100%, $E$13)</f>
        <v>10.3066</v>
      </c>
      <c r="C654" s="66">
        <f>10.3066 * CHOOSE(CONTROL!$C$23, $C$13, 100%, $E$13)</f>
        <v>10.3066</v>
      </c>
      <c r="D654" s="66">
        <f>10.3104 * CHOOSE(CONTROL!$C$23, $C$13, 100%, $E$13)</f>
        <v>10.3104</v>
      </c>
      <c r="E654" s="67">
        <f>11.7297 * CHOOSE(CONTROL!$C$23, $C$13, 100%, $E$13)</f>
        <v>11.729699999999999</v>
      </c>
      <c r="F654" s="67">
        <f>11.7297 * CHOOSE(CONTROL!$C$23, $C$13, 100%, $E$13)</f>
        <v>11.729699999999999</v>
      </c>
      <c r="G654" s="67">
        <f>11.7344 * CHOOSE(CONTROL!$C$23, $C$13, 100%, $E$13)</f>
        <v>11.734400000000001</v>
      </c>
      <c r="H654" s="67">
        <f>22.0228* CHOOSE(CONTROL!$C$23, $C$13, 100%, $E$13)</f>
        <v>22.0228</v>
      </c>
      <c r="I654" s="67">
        <f>22.0275 * CHOOSE(CONTROL!$C$23, $C$13, 100%, $E$13)</f>
        <v>22.0275</v>
      </c>
      <c r="J654" s="67">
        <f>11.7297 * CHOOSE(CONTROL!$C$23, $C$13, 100%, $E$13)</f>
        <v>11.729699999999999</v>
      </c>
      <c r="K654" s="67">
        <f>11.7344 * CHOOSE(CONTROL!$C$23, $C$13, 100%, $E$13)</f>
        <v>11.734400000000001</v>
      </c>
    </row>
    <row r="655" spans="1:11" ht="15">
      <c r="A655" s="13">
        <v>61057</v>
      </c>
      <c r="B655" s="66">
        <f>10.3035 * CHOOSE(CONTROL!$C$23, $C$13, 100%, $E$13)</f>
        <v>10.3035</v>
      </c>
      <c r="C655" s="66">
        <f>10.3035 * CHOOSE(CONTROL!$C$23, $C$13, 100%, $E$13)</f>
        <v>10.3035</v>
      </c>
      <c r="D655" s="66">
        <f>10.3074 * CHOOSE(CONTROL!$C$23, $C$13, 100%, $E$13)</f>
        <v>10.307399999999999</v>
      </c>
      <c r="E655" s="67">
        <f>11.8896 * CHOOSE(CONTROL!$C$23, $C$13, 100%, $E$13)</f>
        <v>11.8896</v>
      </c>
      <c r="F655" s="67">
        <f>11.8896 * CHOOSE(CONTROL!$C$23, $C$13, 100%, $E$13)</f>
        <v>11.8896</v>
      </c>
      <c r="G655" s="67">
        <f>11.8944 * CHOOSE(CONTROL!$C$23, $C$13, 100%, $E$13)</f>
        <v>11.894399999999999</v>
      </c>
      <c r="H655" s="67">
        <f>22.0687* CHOOSE(CONTROL!$C$23, $C$13, 100%, $E$13)</f>
        <v>22.0687</v>
      </c>
      <c r="I655" s="67">
        <f>22.0734 * CHOOSE(CONTROL!$C$23, $C$13, 100%, $E$13)</f>
        <v>22.073399999999999</v>
      </c>
      <c r="J655" s="67">
        <f>11.8896 * CHOOSE(CONTROL!$C$23, $C$13, 100%, $E$13)</f>
        <v>11.8896</v>
      </c>
      <c r="K655" s="67">
        <f>11.8944 * CHOOSE(CONTROL!$C$23, $C$13, 100%, $E$13)</f>
        <v>11.894399999999999</v>
      </c>
    </row>
    <row r="656" spans="1:11" ht="15">
      <c r="A656" s="13">
        <v>61088</v>
      </c>
      <c r="B656" s="66">
        <f>10.3065 * CHOOSE(CONTROL!$C$23, $C$13, 100%, $E$13)</f>
        <v>10.3065</v>
      </c>
      <c r="C656" s="66">
        <f>10.3065 * CHOOSE(CONTROL!$C$23, $C$13, 100%, $E$13)</f>
        <v>10.3065</v>
      </c>
      <c r="D656" s="66">
        <f>10.3104 * CHOOSE(CONTROL!$C$23, $C$13, 100%, $E$13)</f>
        <v>10.3104</v>
      </c>
      <c r="E656" s="67">
        <f>12.0594 * CHOOSE(CONTROL!$C$23, $C$13, 100%, $E$13)</f>
        <v>12.0594</v>
      </c>
      <c r="F656" s="67">
        <f>12.0594 * CHOOSE(CONTROL!$C$23, $C$13, 100%, $E$13)</f>
        <v>12.0594</v>
      </c>
      <c r="G656" s="67">
        <f>12.0642 * CHOOSE(CONTROL!$C$23, $C$13, 100%, $E$13)</f>
        <v>12.0642</v>
      </c>
      <c r="H656" s="67">
        <f>22.1146* CHOOSE(CONTROL!$C$23, $C$13, 100%, $E$13)</f>
        <v>22.114599999999999</v>
      </c>
      <c r="I656" s="67">
        <f>22.1194 * CHOOSE(CONTROL!$C$23, $C$13, 100%, $E$13)</f>
        <v>22.119399999999999</v>
      </c>
      <c r="J656" s="67">
        <f>12.0594 * CHOOSE(CONTROL!$C$23, $C$13, 100%, $E$13)</f>
        <v>12.0594</v>
      </c>
      <c r="K656" s="67">
        <f>12.0642 * CHOOSE(CONTROL!$C$23, $C$13, 100%, $E$13)</f>
        <v>12.0642</v>
      </c>
    </row>
    <row r="657" spans="1:11" ht="15">
      <c r="A657" s="13">
        <v>61118</v>
      </c>
      <c r="B657" s="66">
        <f>10.3065 * CHOOSE(CONTROL!$C$23, $C$13, 100%, $E$13)</f>
        <v>10.3065</v>
      </c>
      <c r="C657" s="66">
        <f>10.3065 * CHOOSE(CONTROL!$C$23, $C$13, 100%, $E$13)</f>
        <v>10.3065</v>
      </c>
      <c r="D657" s="66">
        <f>10.312 * CHOOSE(CONTROL!$C$23, $C$13, 100%, $E$13)</f>
        <v>10.311999999999999</v>
      </c>
      <c r="E657" s="67">
        <f>12.1247 * CHOOSE(CONTROL!$C$23, $C$13, 100%, $E$13)</f>
        <v>12.124700000000001</v>
      </c>
      <c r="F657" s="67">
        <f>12.1247 * CHOOSE(CONTROL!$C$23, $C$13, 100%, $E$13)</f>
        <v>12.124700000000001</v>
      </c>
      <c r="G657" s="67">
        <f>12.1314 * CHOOSE(CONTROL!$C$23, $C$13, 100%, $E$13)</f>
        <v>12.131399999999999</v>
      </c>
      <c r="H657" s="67">
        <f>22.1607* CHOOSE(CONTROL!$C$23, $C$13, 100%, $E$13)</f>
        <v>22.160699999999999</v>
      </c>
      <c r="I657" s="67">
        <f>22.1674 * CHOOSE(CONTROL!$C$23, $C$13, 100%, $E$13)</f>
        <v>22.167400000000001</v>
      </c>
      <c r="J657" s="67">
        <f>12.1247 * CHOOSE(CONTROL!$C$23, $C$13, 100%, $E$13)</f>
        <v>12.124700000000001</v>
      </c>
      <c r="K657" s="67">
        <f>12.1314 * CHOOSE(CONTROL!$C$23, $C$13, 100%, $E$13)</f>
        <v>12.131399999999999</v>
      </c>
    </row>
    <row r="658" spans="1:11" ht="15">
      <c r="A658" s="13">
        <v>61149</v>
      </c>
      <c r="B658" s="66">
        <f>10.3126 * CHOOSE(CONTROL!$C$23, $C$13, 100%, $E$13)</f>
        <v>10.3126</v>
      </c>
      <c r="C658" s="66">
        <f>10.3126 * CHOOSE(CONTROL!$C$23, $C$13, 100%, $E$13)</f>
        <v>10.3126</v>
      </c>
      <c r="D658" s="66">
        <f>10.3181 * CHOOSE(CONTROL!$C$23, $C$13, 100%, $E$13)</f>
        <v>10.318099999999999</v>
      </c>
      <c r="E658" s="67">
        <f>12.0637 * CHOOSE(CONTROL!$C$23, $C$13, 100%, $E$13)</f>
        <v>12.063700000000001</v>
      </c>
      <c r="F658" s="67">
        <f>12.0637 * CHOOSE(CONTROL!$C$23, $C$13, 100%, $E$13)</f>
        <v>12.063700000000001</v>
      </c>
      <c r="G658" s="67">
        <f>12.0704 * CHOOSE(CONTROL!$C$23, $C$13, 100%, $E$13)</f>
        <v>12.070399999999999</v>
      </c>
      <c r="H658" s="67">
        <f>22.2069* CHOOSE(CONTROL!$C$23, $C$13, 100%, $E$13)</f>
        <v>22.206900000000001</v>
      </c>
      <c r="I658" s="67">
        <f>22.2136 * CHOOSE(CONTROL!$C$23, $C$13, 100%, $E$13)</f>
        <v>22.2136</v>
      </c>
      <c r="J658" s="67">
        <f>12.0637 * CHOOSE(CONTROL!$C$23, $C$13, 100%, $E$13)</f>
        <v>12.063700000000001</v>
      </c>
      <c r="K658" s="67">
        <f>12.0704 * CHOOSE(CONTROL!$C$23, $C$13, 100%, $E$13)</f>
        <v>12.070399999999999</v>
      </c>
    </row>
    <row r="659" spans="1:11" ht="15">
      <c r="A659" s="13">
        <v>61179</v>
      </c>
      <c r="B659" s="66">
        <f>10.4716 * CHOOSE(CONTROL!$C$23, $C$13, 100%, $E$13)</f>
        <v>10.4716</v>
      </c>
      <c r="C659" s="66">
        <f>10.4716 * CHOOSE(CONTROL!$C$23, $C$13, 100%, $E$13)</f>
        <v>10.4716</v>
      </c>
      <c r="D659" s="66">
        <f>10.4771 * CHOOSE(CONTROL!$C$23, $C$13, 100%, $E$13)</f>
        <v>10.4771</v>
      </c>
      <c r="E659" s="67">
        <f>12.2585 * CHOOSE(CONTROL!$C$23, $C$13, 100%, $E$13)</f>
        <v>12.2585</v>
      </c>
      <c r="F659" s="67">
        <f>12.2585 * CHOOSE(CONTROL!$C$23, $C$13, 100%, $E$13)</f>
        <v>12.2585</v>
      </c>
      <c r="G659" s="67">
        <f>12.2653 * CHOOSE(CONTROL!$C$23, $C$13, 100%, $E$13)</f>
        <v>12.2653</v>
      </c>
      <c r="H659" s="67">
        <f>22.2531* CHOOSE(CONTROL!$C$23, $C$13, 100%, $E$13)</f>
        <v>22.2531</v>
      </c>
      <c r="I659" s="67">
        <f>22.2599 * CHOOSE(CONTROL!$C$23, $C$13, 100%, $E$13)</f>
        <v>22.259899999999998</v>
      </c>
      <c r="J659" s="67">
        <f>12.2585 * CHOOSE(CONTROL!$C$23, $C$13, 100%, $E$13)</f>
        <v>12.2585</v>
      </c>
      <c r="K659" s="67">
        <f>12.2653 * CHOOSE(CONTROL!$C$23, $C$13, 100%, $E$13)</f>
        <v>12.2653</v>
      </c>
    </row>
    <row r="660" spans="1:11" ht="15">
      <c r="A660" s="13">
        <v>61210</v>
      </c>
      <c r="B660" s="66">
        <f>10.4782 * CHOOSE(CONTROL!$C$23, $C$13, 100%, $E$13)</f>
        <v>10.478199999999999</v>
      </c>
      <c r="C660" s="66">
        <f>10.4782 * CHOOSE(CONTROL!$C$23, $C$13, 100%, $E$13)</f>
        <v>10.478199999999999</v>
      </c>
      <c r="D660" s="66">
        <f>10.4837 * CHOOSE(CONTROL!$C$23, $C$13, 100%, $E$13)</f>
        <v>10.483700000000001</v>
      </c>
      <c r="E660" s="67">
        <f>12.0674 * CHOOSE(CONTROL!$C$23, $C$13, 100%, $E$13)</f>
        <v>12.067399999999999</v>
      </c>
      <c r="F660" s="67">
        <f>12.0674 * CHOOSE(CONTROL!$C$23, $C$13, 100%, $E$13)</f>
        <v>12.067399999999999</v>
      </c>
      <c r="G660" s="67">
        <f>12.0741 * CHOOSE(CONTROL!$C$23, $C$13, 100%, $E$13)</f>
        <v>12.0741</v>
      </c>
      <c r="H660" s="67">
        <f>22.2995* CHOOSE(CONTROL!$C$23, $C$13, 100%, $E$13)</f>
        <v>22.299499999999998</v>
      </c>
      <c r="I660" s="67">
        <f>22.3062 * CHOOSE(CONTROL!$C$23, $C$13, 100%, $E$13)</f>
        <v>22.3062</v>
      </c>
      <c r="J660" s="67">
        <f>12.0674 * CHOOSE(CONTROL!$C$23, $C$13, 100%, $E$13)</f>
        <v>12.067399999999999</v>
      </c>
      <c r="K660" s="67">
        <f>12.0741 * CHOOSE(CONTROL!$C$23, $C$13, 100%, $E$13)</f>
        <v>12.0741</v>
      </c>
    </row>
    <row r="661" spans="1:11" ht="15">
      <c r="A661" s="13">
        <v>61241</v>
      </c>
      <c r="B661" s="66">
        <f>10.4752 * CHOOSE(CONTROL!$C$23, $C$13, 100%, $E$13)</f>
        <v>10.475199999999999</v>
      </c>
      <c r="C661" s="66">
        <f>10.4752 * CHOOSE(CONTROL!$C$23, $C$13, 100%, $E$13)</f>
        <v>10.475199999999999</v>
      </c>
      <c r="D661" s="66">
        <f>10.4807 * CHOOSE(CONTROL!$C$23, $C$13, 100%, $E$13)</f>
        <v>10.480700000000001</v>
      </c>
      <c r="E661" s="67">
        <f>12.0435 * CHOOSE(CONTROL!$C$23, $C$13, 100%, $E$13)</f>
        <v>12.0435</v>
      </c>
      <c r="F661" s="67">
        <f>12.0435 * CHOOSE(CONTROL!$C$23, $C$13, 100%, $E$13)</f>
        <v>12.0435</v>
      </c>
      <c r="G661" s="67">
        <f>12.0502 * CHOOSE(CONTROL!$C$23, $C$13, 100%, $E$13)</f>
        <v>12.0502</v>
      </c>
      <c r="H661" s="67">
        <f>22.346* CHOOSE(CONTROL!$C$23, $C$13, 100%, $E$13)</f>
        <v>22.346</v>
      </c>
      <c r="I661" s="67">
        <f>22.3527 * CHOOSE(CONTROL!$C$23, $C$13, 100%, $E$13)</f>
        <v>22.352699999999999</v>
      </c>
      <c r="J661" s="67">
        <f>12.0435 * CHOOSE(CONTROL!$C$23, $C$13, 100%, $E$13)</f>
        <v>12.0435</v>
      </c>
      <c r="K661" s="67">
        <f>12.0502 * CHOOSE(CONTROL!$C$23, $C$13, 100%, $E$13)</f>
        <v>12.0502</v>
      </c>
    </row>
    <row r="662" spans="1:11" ht="15">
      <c r="A662" s="13">
        <v>61271</v>
      </c>
      <c r="B662" s="66">
        <f>10.4913 * CHOOSE(CONTROL!$C$23, $C$13, 100%, $E$13)</f>
        <v>10.491300000000001</v>
      </c>
      <c r="C662" s="66">
        <f>10.4913 * CHOOSE(CONTROL!$C$23, $C$13, 100%, $E$13)</f>
        <v>10.491300000000001</v>
      </c>
      <c r="D662" s="66">
        <f>10.4951 * CHOOSE(CONTROL!$C$23, $C$13, 100%, $E$13)</f>
        <v>10.495100000000001</v>
      </c>
      <c r="E662" s="67">
        <f>12.1171 * CHOOSE(CONTROL!$C$23, $C$13, 100%, $E$13)</f>
        <v>12.117100000000001</v>
      </c>
      <c r="F662" s="67">
        <f>12.1171 * CHOOSE(CONTROL!$C$23, $C$13, 100%, $E$13)</f>
        <v>12.117100000000001</v>
      </c>
      <c r="G662" s="67">
        <f>12.1219 * CHOOSE(CONTROL!$C$23, $C$13, 100%, $E$13)</f>
        <v>12.1219</v>
      </c>
      <c r="H662" s="67">
        <f>22.3925* CHOOSE(CONTROL!$C$23, $C$13, 100%, $E$13)</f>
        <v>22.392499999999998</v>
      </c>
      <c r="I662" s="67">
        <f>22.3973 * CHOOSE(CONTROL!$C$23, $C$13, 100%, $E$13)</f>
        <v>22.397300000000001</v>
      </c>
      <c r="J662" s="67">
        <f>12.1171 * CHOOSE(CONTROL!$C$23, $C$13, 100%, $E$13)</f>
        <v>12.117100000000001</v>
      </c>
      <c r="K662" s="67">
        <f>12.1219 * CHOOSE(CONTROL!$C$23, $C$13, 100%, $E$13)</f>
        <v>12.1219</v>
      </c>
    </row>
    <row r="663" spans="1:11" ht="15">
      <c r="A663" s="13">
        <v>61302</v>
      </c>
      <c r="B663" s="66">
        <f>10.4943 * CHOOSE(CONTROL!$C$23, $C$13, 100%, $E$13)</f>
        <v>10.494300000000001</v>
      </c>
      <c r="C663" s="66">
        <f>10.4943 * CHOOSE(CONTROL!$C$23, $C$13, 100%, $E$13)</f>
        <v>10.494300000000001</v>
      </c>
      <c r="D663" s="66">
        <f>10.4982 * CHOOSE(CONTROL!$C$23, $C$13, 100%, $E$13)</f>
        <v>10.498200000000001</v>
      </c>
      <c r="E663" s="67">
        <f>12.1627 * CHOOSE(CONTROL!$C$23, $C$13, 100%, $E$13)</f>
        <v>12.162699999999999</v>
      </c>
      <c r="F663" s="67">
        <f>12.1627 * CHOOSE(CONTROL!$C$23, $C$13, 100%, $E$13)</f>
        <v>12.162699999999999</v>
      </c>
      <c r="G663" s="67">
        <f>12.1675 * CHOOSE(CONTROL!$C$23, $C$13, 100%, $E$13)</f>
        <v>12.1675</v>
      </c>
      <c r="H663" s="67">
        <f>22.4392* CHOOSE(CONTROL!$C$23, $C$13, 100%, $E$13)</f>
        <v>22.4392</v>
      </c>
      <c r="I663" s="67">
        <f>22.4439 * CHOOSE(CONTROL!$C$23, $C$13, 100%, $E$13)</f>
        <v>22.443899999999999</v>
      </c>
      <c r="J663" s="67">
        <f>12.1627 * CHOOSE(CONTROL!$C$23, $C$13, 100%, $E$13)</f>
        <v>12.162699999999999</v>
      </c>
      <c r="K663" s="67">
        <f>12.1675 * CHOOSE(CONTROL!$C$23, $C$13, 100%, $E$13)</f>
        <v>12.1675</v>
      </c>
    </row>
    <row r="664" spans="1:11" ht="15">
      <c r="A664" s="13">
        <v>61332</v>
      </c>
      <c r="B664" s="66">
        <f>10.4943 * CHOOSE(CONTROL!$C$23, $C$13, 100%, $E$13)</f>
        <v>10.494300000000001</v>
      </c>
      <c r="C664" s="66">
        <f>10.4943 * CHOOSE(CONTROL!$C$23, $C$13, 100%, $E$13)</f>
        <v>10.494300000000001</v>
      </c>
      <c r="D664" s="66">
        <f>10.4982 * CHOOSE(CONTROL!$C$23, $C$13, 100%, $E$13)</f>
        <v>10.498200000000001</v>
      </c>
      <c r="E664" s="67">
        <f>12.0539 * CHOOSE(CONTROL!$C$23, $C$13, 100%, $E$13)</f>
        <v>12.053900000000001</v>
      </c>
      <c r="F664" s="67">
        <f>12.0539 * CHOOSE(CONTROL!$C$23, $C$13, 100%, $E$13)</f>
        <v>12.053900000000001</v>
      </c>
      <c r="G664" s="67">
        <f>12.0587 * CHOOSE(CONTROL!$C$23, $C$13, 100%, $E$13)</f>
        <v>12.0587</v>
      </c>
      <c r="H664" s="67">
        <f>22.4859* CHOOSE(CONTROL!$C$23, $C$13, 100%, $E$13)</f>
        <v>22.485900000000001</v>
      </c>
      <c r="I664" s="67">
        <f>22.4907 * CHOOSE(CONTROL!$C$23, $C$13, 100%, $E$13)</f>
        <v>22.4907</v>
      </c>
      <c r="J664" s="67">
        <f>12.0539 * CHOOSE(CONTROL!$C$23, $C$13, 100%, $E$13)</f>
        <v>12.053900000000001</v>
      </c>
      <c r="K664" s="67">
        <f>12.0587 * CHOOSE(CONTROL!$C$23, $C$13, 100%, $E$13)</f>
        <v>12.0587</v>
      </c>
    </row>
    <row r="665" spans="1:11" ht="15">
      <c r="A665" s="13">
        <v>61363</v>
      </c>
      <c r="B665" s="66">
        <f>10.5452 * CHOOSE(CONTROL!$C$23, $C$13, 100%, $E$13)</f>
        <v>10.545199999999999</v>
      </c>
      <c r="C665" s="66">
        <f>10.5452 * CHOOSE(CONTROL!$C$23, $C$13, 100%, $E$13)</f>
        <v>10.545199999999999</v>
      </c>
      <c r="D665" s="66">
        <f>10.549 * CHOOSE(CONTROL!$C$23, $C$13, 100%, $E$13)</f>
        <v>10.548999999999999</v>
      </c>
      <c r="E665" s="67">
        <f>12.1921 * CHOOSE(CONTROL!$C$23, $C$13, 100%, $E$13)</f>
        <v>12.1921</v>
      </c>
      <c r="F665" s="67">
        <f>12.1921 * CHOOSE(CONTROL!$C$23, $C$13, 100%, $E$13)</f>
        <v>12.1921</v>
      </c>
      <c r="G665" s="67">
        <f>12.1969 * CHOOSE(CONTROL!$C$23, $C$13, 100%, $E$13)</f>
        <v>12.196899999999999</v>
      </c>
      <c r="H665" s="67">
        <f>22.4595* CHOOSE(CONTROL!$C$23, $C$13, 100%, $E$13)</f>
        <v>22.459499999999998</v>
      </c>
      <c r="I665" s="67">
        <f>22.4643 * CHOOSE(CONTROL!$C$23, $C$13, 100%, $E$13)</f>
        <v>22.464300000000001</v>
      </c>
      <c r="J665" s="67">
        <f>12.1921 * CHOOSE(CONTROL!$C$23, $C$13, 100%, $E$13)</f>
        <v>12.1921</v>
      </c>
      <c r="K665" s="67">
        <f>12.1969 * CHOOSE(CONTROL!$C$23, $C$13, 100%, $E$13)</f>
        <v>12.196899999999999</v>
      </c>
    </row>
    <row r="666" spans="1:11" ht="15">
      <c r="A666" s="13">
        <v>61394</v>
      </c>
      <c r="B666" s="66">
        <f>10.5421 * CHOOSE(CONTROL!$C$23, $C$13, 100%, $E$13)</f>
        <v>10.5421</v>
      </c>
      <c r="C666" s="66">
        <f>10.5421 * CHOOSE(CONTROL!$C$23, $C$13, 100%, $E$13)</f>
        <v>10.5421</v>
      </c>
      <c r="D666" s="66">
        <f>10.546 * CHOOSE(CONTROL!$C$23, $C$13, 100%, $E$13)</f>
        <v>10.545999999999999</v>
      </c>
      <c r="E666" s="67">
        <f>11.9794 * CHOOSE(CONTROL!$C$23, $C$13, 100%, $E$13)</f>
        <v>11.9794</v>
      </c>
      <c r="F666" s="67">
        <f>11.9794 * CHOOSE(CONTROL!$C$23, $C$13, 100%, $E$13)</f>
        <v>11.9794</v>
      </c>
      <c r="G666" s="67">
        <f>11.9842 * CHOOSE(CONTROL!$C$23, $C$13, 100%, $E$13)</f>
        <v>11.9842</v>
      </c>
      <c r="H666" s="67">
        <f>22.5063* CHOOSE(CONTROL!$C$23, $C$13, 100%, $E$13)</f>
        <v>22.5063</v>
      </c>
      <c r="I666" s="67">
        <f>22.5111 * CHOOSE(CONTROL!$C$23, $C$13, 100%, $E$13)</f>
        <v>22.511099999999999</v>
      </c>
      <c r="J666" s="67">
        <f>11.9794 * CHOOSE(CONTROL!$C$23, $C$13, 100%, $E$13)</f>
        <v>11.9794</v>
      </c>
      <c r="K666" s="67">
        <f>11.9842 * CHOOSE(CONTROL!$C$23, $C$13, 100%, $E$13)</f>
        <v>11.9842</v>
      </c>
    </row>
    <row r="667" spans="1:11" ht="15">
      <c r="A667" s="13">
        <v>61423</v>
      </c>
      <c r="B667" s="66">
        <f>10.5391 * CHOOSE(CONTROL!$C$23, $C$13, 100%, $E$13)</f>
        <v>10.539099999999999</v>
      </c>
      <c r="C667" s="66">
        <f>10.5391 * CHOOSE(CONTROL!$C$23, $C$13, 100%, $E$13)</f>
        <v>10.539099999999999</v>
      </c>
      <c r="D667" s="66">
        <f>10.543 * CHOOSE(CONTROL!$C$23, $C$13, 100%, $E$13)</f>
        <v>10.542999999999999</v>
      </c>
      <c r="E667" s="67">
        <f>12.1433 * CHOOSE(CONTROL!$C$23, $C$13, 100%, $E$13)</f>
        <v>12.1433</v>
      </c>
      <c r="F667" s="67">
        <f>12.1433 * CHOOSE(CONTROL!$C$23, $C$13, 100%, $E$13)</f>
        <v>12.1433</v>
      </c>
      <c r="G667" s="67">
        <f>12.1481 * CHOOSE(CONTROL!$C$23, $C$13, 100%, $E$13)</f>
        <v>12.148099999999999</v>
      </c>
      <c r="H667" s="67">
        <f>22.5532* CHOOSE(CONTROL!$C$23, $C$13, 100%, $E$13)</f>
        <v>22.5532</v>
      </c>
      <c r="I667" s="67">
        <f>22.558 * CHOOSE(CONTROL!$C$23, $C$13, 100%, $E$13)</f>
        <v>22.558</v>
      </c>
      <c r="J667" s="67">
        <f>12.1433 * CHOOSE(CONTROL!$C$23, $C$13, 100%, $E$13)</f>
        <v>12.1433</v>
      </c>
      <c r="K667" s="67">
        <f>12.1481 * CHOOSE(CONTROL!$C$23, $C$13, 100%, $E$13)</f>
        <v>12.148099999999999</v>
      </c>
    </row>
    <row r="668" spans="1:11" ht="15">
      <c r="A668" s="13">
        <v>61454</v>
      </c>
      <c r="B668" s="66">
        <f>10.5423 * CHOOSE(CONTROL!$C$23, $C$13, 100%, $E$13)</f>
        <v>10.542299999999999</v>
      </c>
      <c r="C668" s="66">
        <f>10.5423 * CHOOSE(CONTROL!$C$23, $C$13, 100%, $E$13)</f>
        <v>10.542299999999999</v>
      </c>
      <c r="D668" s="66">
        <f>10.5461 * CHOOSE(CONTROL!$C$23, $C$13, 100%, $E$13)</f>
        <v>10.546099999999999</v>
      </c>
      <c r="E668" s="67">
        <f>12.3173 * CHOOSE(CONTROL!$C$23, $C$13, 100%, $E$13)</f>
        <v>12.317299999999999</v>
      </c>
      <c r="F668" s="67">
        <f>12.3173 * CHOOSE(CONTROL!$C$23, $C$13, 100%, $E$13)</f>
        <v>12.317299999999999</v>
      </c>
      <c r="G668" s="67">
        <f>12.3221 * CHOOSE(CONTROL!$C$23, $C$13, 100%, $E$13)</f>
        <v>12.322100000000001</v>
      </c>
      <c r="H668" s="67">
        <f>22.6002* CHOOSE(CONTROL!$C$23, $C$13, 100%, $E$13)</f>
        <v>22.600200000000001</v>
      </c>
      <c r="I668" s="67">
        <f>22.605 * CHOOSE(CONTROL!$C$23, $C$13, 100%, $E$13)</f>
        <v>22.605</v>
      </c>
      <c r="J668" s="67">
        <f>12.3173 * CHOOSE(CONTROL!$C$23, $C$13, 100%, $E$13)</f>
        <v>12.317299999999999</v>
      </c>
      <c r="K668" s="67">
        <f>12.3221 * CHOOSE(CONTROL!$C$23, $C$13, 100%, $E$13)</f>
        <v>12.322100000000001</v>
      </c>
    </row>
    <row r="669" spans="1:11" ht="15">
      <c r="A669" s="13">
        <v>61484</v>
      </c>
      <c r="B669" s="66">
        <f>10.5423 * CHOOSE(CONTROL!$C$23, $C$13, 100%, $E$13)</f>
        <v>10.542299999999999</v>
      </c>
      <c r="C669" s="66">
        <f>10.5423 * CHOOSE(CONTROL!$C$23, $C$13, 100%, $E$13)</f>
        <v>10.542299999999999</v>
      </c>
      <c r="D669" s="66">
        <f>10.5478 * CHOOSE(CONTROL!$C$23, $C$13, 100%, $E$13)</f>
        <v>10.547800000000001</v>
      </c>
      <c r="E669" s="67">
        <f>12.3841 * CHOOSE(CONTROL!$C$23, $C$13, 100%, $E$13)</f>
        <v>12.3841</v>
      </c>
      <c r="F669" s="67">
        <f>12.3841 * CHOOSE(CONTROL!$C$23, $C$13, 100%, $E$13)</f>
        <v>12.3841</v>
      </c>
      <c r="G669" s="67">
        <f>12.3909 * CHOOSE(CONTROL!$C$23, $C$13, 100%, $E$13)</f>
        <v>12.3909</v>
      </c>
      <c r="H669" s="67">
        <f>22.6473* CHOOSE(CONTROL!$C$23, $C$13, 100%, $E$13)</f>
        <v>22.647300000000001</v>
      </c>
      <c r="I669" s="67">
        <f>22.654 * CHOOSE(CONTROL!$C$23, $C$13, 100%, $E$13)</f>
        <v>22.654</v>
      </c>
      <c r="J669" s="67">
        <f>12.3841 * CHOOSE(CONTROL!$C$23, $C$13, 100%, $E$13)</f>
        <v>12.3841</v>
      </c>
      <c r="K669" s="67">
        <f>12.3909 * CHOOSE(CONTROL!$C$23, $C$13, 100%, $E$13)</f>
        <v>12.3909</v>
      </c>
    </row>
    <row r="670" spans="1:11" ht="15">
      <c r="A670" s="13">
        <v>61515</v>
      </c>
      <c r="B670" s="66">
        <f>10.5483 * CHOOSE(CONTROL!$C$23, $C$13, 100%, $E$13)</f>
        <v>10.548299999999999</v>
      </c>
      <c r="C670" s="66">
        <f>10.5483 * CHOOSE(CONTROL!$C$23, $C$13, 100%, $E$13)</f>
        <v>10.548299999999999</v>
      </c>
      <c r="D670" s="66">
        <f>10.5538 * CHOOSE(CONTROL!$C$23, $C$13, 100%, $E$13)</f>
        <v>10.553800000000001</v>
      </c>
      <c r="E670" s="67">
        <f>12.3215 * CHOOSE(CONTROL!$C$23, $C$13, 100%, $E$13)</f>
        <v>12.3215</v>
      </c>
      <c r="F670" s="67">
        <f>12.3215 * CHOOSE(CONTROL!$C$23, $C$13, 100%, $E$13)</f>
        <v>12.3215</v>
      </c>
      <c r="G670" s="67">
        <f>12.3283 * CHOOSE(CONTROL!$C$23, $C$13, 100%, $E$13)</f>
        <v>12.3283</v>
      </c>
      <c r="H670" s="67">
        <f>22.6945* CHOOSE(CONTROL!$C$23, $C$13, 100%, $E$13)</f>
        <v>22.694500000000001</v>
      </c>
      <c r="I670" s="67">
        <f>22.7012 * CHOOSE(CONTROL!$C$23, $C$13, 100%, $E$13)</f>
        <v>22.7012</v>
      </c>
      <c r="J670" s="67">
        <f>12.3215 * CHOOSE(CONTROL!$C$23, $C$13, 100%, $E$13)</f>
        <v>12.3215</v>
      </c>
      <c r="K670" s="67">
        <f>12.3283 * CHOOSE(CONTROL!$C$23, $C$13, 100%, $E$13)</f>
        <v>12.3283</v>
      </c>
    </row>
    <row r="671" spans="1:11" ht="15">
      <c r="A671" s="13">
        <v>61545</v>
      </c>
      <c r="B671" s="66">
        <f>10.7107 * CHOOSE(CONTROL!$C$23, $C$13, 100%, $E$13)</f>
        <v>10.710699999999999</v>
      </c>
      <c r="C671" s="66">
        <f>10.7107 * CHOOSE(CONTROL!$C$23, $C$13, 100%, $E$13)</f>
        <v>10.710699999999999</v>
      </c>
      <c r="D671" s="66">
        <f>10.7162 * CHOOSE(CONTROL!$C$23, $C$13, 100%, $E$13)</f>
        <v>10.716200000000001</v>
      </c>
      <c r="E671" s="67">
        <f>12.5203 * CHOOSE(CONTROL!$C$23, $C$13, 100%, $E$13)</f>
        <v>12.520300000000001</v>
      </c>
      <c r="F671" s="67">
        <f>12.5203 * CHOOSE(CONTROL!$C$23, $C$13, 100%, $E$13)</f>
        <v>12.520300000000001</v>
      </c>
      <c r="G671" s="67">
        <f>12.527 * CHOOSE(CONTROL!$C$23, $C$13, 100%, $E$13)</f>
        <v>12.526999999999999</v>
      </c>
      <c r="H671" s="67">
        <f>22.7417* CHOOSE(CONTROL!$C$23, $C$13, 100%, $E$13)</f>
        <v>22.741700000000002</v>
      </c>
      <c r="I671" s="67">
        <f>22.7485 * CHOOSE(CONTROL!$C$23, $C$13, 100%, $E$13)</f>
        <v>22.7485</v>
      </c>
      <c r="J671" s="67">
        <f>12.5203 * CHOOSE(CONTROL!$C$23, $C$13, 100%, $E$13)</f>
        <v>12.520300000000001</v>
      </c>
      <c r="K671" s="67">
        <f>12.527 * CHOOSE(CONTROL!$C$23, $C$13, 100%, $E$13)</f>
        <v>12.526999999999999</v>
      </c>
    </row>
    <row r="672" spans="1:11" ht="15">
      <c r="A672" s="13">
        <v>61576</v>
      </c>
      <c r="B672" s="66">
        <f>10.7174 * CHOOSE(CONTROL!$C$23, $C$13, 100%, $E$13)</f>
        <v>10.7174</v>
      </c>
      <c r="C672" s="66">
        <f>10.7174 * CHOOSE(CONTROL!$C$23, $C$13, 100%, $E$13)</f>
        <v>10.7174</v>
      </c>
      <c r="D672" s="66">
        <f>10.7229 * CHOOSE(CONTROL!$C$23, $C$13, 100%, $E$13)</f>
        <v>10.722899999999999</v>
      </c>
      <c r="E672" s="67">
        <f>12.3244 * CHOOSE(CONTROL!$C$23, $C$13, 100%, $E$13)</f>
        <v>12.324400000000001</v>
      </c>
      <c r="F672" s="67">
        <f>12.3244 * CHOOSE(CONTROL!$C$23, $C$13, 100%, $E$13)</f>
        <v>12.324400000000001</v>
      </c>
      <c r="G672" s="67">
        <f>12.3312 * CHOOSE(CONTROL!$C$23, $C$13, 100%, $E$13)</f>
        <v>12.331200000000001</v>
      </c>
      <c r="H672" s="67">
        <f>22.7891* CHOOSE(CONTROL!$C$23, $C$13, 100%, $E$13)</f>
        <v>22.789100000000001</v>
      </c>
      <c r="I672" s="67">
        <f>22.7959 * CHOOSE(CONTROL!$C$23, $C$13, 100%, $E$13)</f>
        <v>22.7959</v>
      </c>
      <c r="J672" s="67">
        <f>12.3244 * CHOOSE(CONTROL!$C$23, $C$13, 100%, $E$13)</f>
        <v>12.324400000000001</v>
      </c>
      <c r="K672" s="67">
        <f>12.3312 * CHOOSE(CONTROL!$C$23, $C$13, 100%, $E$13)</f>
        <v>12.331200000000001</v>
      </c>
    </row>
    <row r="673" spans="1:11" ht="15">
      <c r="A673" s="13">
        <v>61607</v>
      </c>
      <c r="B673" s="66">
        <f>10.7144 * CHOOSE(CONTROL!$C$23, $C$13, 100%, $E$13)</f>
        <v>10.714399999999999</v>
      </c>
      <c r="C673" s="66">
        <f>10.7144 * CHOOSE(CONTROL!$C$23, $C$13, 100%, $E$13)</f>
        <v>10.714399999999999</v>
      </c>
      <c r="D673" s="66">
        <f>10.7199 * CHOOSE(CONTROL!$C$23, $C$13, 100%, $E$13)</f>
        <v>10.719900000000001</v>
      </c>
      <c r="E673" s="67">
        <f>12.3 * CHOOSE(CONTROL!$C$23, $C$13, 100%, $E$13)</f>
        <v>12.3</v>
      </c>
      <c r="F673" s="67">
        <f>12.3 * CHOOSE(CONTROL!$C$23, $C$13, 100%, $E$13)</f>
        <v>12.3</v>
      </c>
      <c r="G673" s="67">
        <f>12.3068 * CHOOSE(CONTROL!$C$23, $C$13, 100%, $E$13)</f>
        <v>12.306800000000001</v>
      </c>
      <c r="H673" s="67">
        <f>22.8366* CHOOSE(CONTROL!$C$23, $C$13, 100%, $E$13)</f>
        <v>22.836600000000001</v>
      </c>
      <c r="I673" s="67">
        <f>22.8433 * CHOOSE(CONTROL!$C$23, $C$13, 100%, $E$13)</f>
        <v>22.843299999999999</v>
      </c>
      <c r="J673" s="67">
        <f>12.3 * CHOOSE(CONTROL!$C$23, $C$13, 100%, $E$13)</f>
        <v>12.3</v>
      </c>
      <c r="K673" s="67">
        <f>12.3068 * CHOOSE(CONTROL!$C$23, $C$13, 100%, $E$13)</f>
        <v>12.306800000000001</v>
      </c>
    </row>
    <row r="674" spans="1:11" ht="15">
      <c r="A674" s="13">
        <v>61637</v>
      </c>
      <c r="B674" s="66">
        <f>10.7312 * CHOOSE(CONTROL!$C$23, $C$13, 100%, $E$13)</f>
        <v>10.731199999999999</v>
      </c>
      <c r="C674" s="66">
        <f>10.7312 * CHOOSE(CONTROL!$C$23, $C$13, 100%, $E$13)</f>
        <v>10.731199999999999</v>
      </c>
      <c r="D674" s="66">
        <f>10.7351 * CHOOSE(CONTROL!$C$23, $C$13, 100%, $E$13)</f>
        <v>10.735099999999999</v>
      </c>
      <c r="E674" s="67">
        <f>12.3757 * CHOOSE(CONTROL!$C$23, $C$13, 100%, $E$13)</f>
        <v>12.3757</v>
      </c>
      <c r="F674" s="67">
        <f>12.3757 * CHOOSE(CONTROL!$C$23, $C$13, 100%, $E$13)</f>
        <v>12.3757</v>
      </c>
      <c r="G674" s="67">
        <f>12.3805 * CHOOSE(CONTROL!$C$23, $C$13, 100%, $E$13)</f>
        <v>12.3805</v>
      </c>
      <c r="H674" s="67">
        <f>22.8842* CHOOSE(CONTROL!$C$23, $C$13, 100%, $E$13)</f>
        <v>22.8842</v>
      </c>
      <c r="I674" s="67">
        <f>22.8889 * CHOOSE(CONTROL!$C$23, $C$13, 100%, $E$13)</f>
        <v>22.8889</v>
      </c>
      <c r="J674" s="67">
        <f>12.3757 * CHOOSE(CONTROL!$C$23, $C$13, 100%, $E$13)</f>
        <v>12.3757</v>
      </c>
      <c r="K674" s="67">
        <f>12.3805 * CHOOSE(CONTROL!$C$23, $C$13, 100%, $E$13)</f>
        <v>12.3805</v>
      </c>
    </row>
    <row r="675" spans="1:11" ht="15">
      <c r="A675" s="13">
        <v>61668</v>
      </c>
      <c r="B675" s="66">
        <f>10.7342 * CHOOSE(CONTROL!$C$23, $C$13, 100%, $E$13)</f>
        <v>10.7342</v>
      </c>
      <c r="C675" s="66">
        <f>10.7342 * CHOOSE(CONTROL!$C$23, $C$13, 100%, $E$13)</f>
        <v>10.7342</v>
      </c>
      <c r="D675" s="66">
        <f>10.7381 * CHOOSE(CONTROL!$C$23, $C$13, 100%, $E$13)</f>
        <v>10.738099999999999</v>
      </c>
      <c r="E675" s="67">
        <f>12.4224 * CHOOSE(CONTROL!$C$23, $C$13, 100%, $E$13)</f>
        <v>12.4224</v>
      </c>
      <c r="F675" s="67">
        <f>12.4224 * CHOOSE(CONTROL!$C$23, $C$13, 100%, $E$13)</f>
        <v>12.4224</v>
      </c>
      <c r="G675" s="67">
        <f>12.4272 * CHOOSE(CONTROL!$C$23, $C$13, 100%, $E$13)</f>
        <v>12.427199999999999</v>
      </c>
      <c r="H675" s="67">
        <f>22.9319* CHOOSE(CONTROL!$C$23, $C$13, 100%, $E$13)</f>
        <v>22.931899999999999</v>
      </c>
      <c r="I675" s="67">
        <f>22.9366 * CHOOSE(CONTROL!$C$23, $C$13, 100%, $E$13)</f>
        <v>22.936599999999999</v>
      </c>
      <c r="J675" s="67">
        <f>12.4224 * CHOOSE(CONTROL!$C$23, $C$13, 100%, $E$13)</f>
        <v>12.4224</v>
      </c>
      <c r="K675" s="67">
        <f>12.4272 * CHOOSE(CONTROL!$C$23, $C$13, 100%, $E$13)</f>
        <v>12.427199999999999</v>
      </c>
    </row>
    <row r="676" spans="1:11" ht="15">
      <c r="A676" s="13">
        <v>61698</v>
      </c>
      <c r="B676" s="66">
        <f>10.7342 * CHOOSE(CONTROL!$C$23, $C$13, 100%, $E$13)</f>
        <v>10.7342</v>
      </c>
      <c r="C676" s="66">
        <f>10.7342 * CHOOSE(CONTROL!$C$23, $C$13, 100%, $E$13)</f>
        <v>10.7342</v>
      </c>
      <c r="D676" s="66">
        <f>10.7381 * CHOOSE(CONTROL!$C$23, $C$13, 100%, $E$13)</f>
        <v>10.738099999999999</v>
      </c>
      <c r="E676" s="67">
        <f>12.311 * CHOOSE(CONTROL!$C$23, $C$13, 100%, $E$13)</f>
        <v>12.311</v>
      </c>
      <c r="F676" s="67">
        <f>12.311 * CHOOSE(CONTROL!$C$23, $C$13, 100%, $E$13)</f>
        <v>12.311</v>
      </c>
      <c r="G676" s="67">
        <f>12.3158 * CHOOSE(CONTROL!$C$23, $C$13, 100%, $E$13)</f>
        <v>12.315799999999999</v>
      </c>
      <c r="H676" s="67">
        <f>22.9796* CHOOSE(CONTROL!$C$23, $C$13, 100%, $E$13)</f>
        <v>22.979600000000001</v>
      </c>
      <c r="I676" s="67">
        <f>22.9844 * CHOOSE(CONTROL!$C$23, $C$13, 100%, $E$13)</f>
        <v>22.984400000000001</v>
      </c>
      <c r="J676" s="67">
        <f>12.311 * CHOOSE(CONTROL!$C$23, $C$13, 100%, $E$13)</f>
        <v>12.311</v>
      </c>
      <c r="K676" s="67">
        <f>12.3158 * CHOOSE(CONTROL!$C$23, $C$13, 100%, $E$13)</f>
        <v>12.315799999999999</v>
      </c>
    </row>
    <row r="677" spans="1:11" ht="15">
      <c r="A677" s="13">
        <v>61729</v>
      </c>
      <c r="B677" s="66">
        <f>10.7807 * CHOOSE(CONTROL!$C$23, $C$13, 100%, $E$13)</f>
        <v>10.7807</v>
      </c>
      <c r="C677" s="66">
        <f>10.7807 * CHOOSE(CONTROL!$C$23, $C$13, 100%, $E$13)</f>
        <v>10.7807</v>
      </c>
      <c r="D677" s="66">
        <f>10.7846 * CHOOSE(CONTROL!$C$23, $C$13, 100%, $E$13)</f>
        <v>10.784599999999999</v>
      </c>
      <c r="E677" s="67">
        <f>12.4468 * CHOOSE(CONTROL!$C$23, $C$13, 100%, $E$13)</f>
        <v>12.4468</v>
      </c>
      <c r="F677" s="67">
        <f>12.4468 * CHOOSE(CONTROL!$C$23, $C$13, 100%, $E$13)</f>
        <v>12.4468</v>
      </c>
      <c r="G677" s="67">
        <f>12.4516 * CHOOSE(CONTROL!$C$23, $C$13, 100%, $E$13)</f>
        <v>12.451599999999999</v>
      </c>
      <c r="H677" s="67">
        <f>22.9421* CHOOSE(CONTROL!$C$23, $C$13, 100%, $E$13)</f>
        <v>22.9421</v>
      </c>
      <c r="I677" s="67">
        <f>22.9469 * CHOOSE(CONTROL!$C$23, $C$13, 100%, $E$13)</f>
        <v>22.946899999999999</v>
      </c>
      <c r="J677" s="67">
        <f>12.4468 * CHOOSE(CONTROL!$C$23, $C$13, 100%, $E$13)</f>
        <v>12.4468</v>
      </c>
      <c r="K677" s="67">
        <f>12.4516 * CHOOSE(CONTROL!$C$23, $C$13, 100%, $E$13)</f>
        <v>12.451599999999999</v>
      </c>
    </row>
    <row r="678" spans="1:11" ht="15">
      <c r="A678" s="13">
        <v>61760</v>
      </c>
      <c r="B678" s="66">
        <f>10.7777 * CHOOSE(CONTROL!$C$23, $C$13, 100%, $E$13)</f>
        <v>10.777699999999999</v>
      </c>
      <c r="C678" s="66">
        <f>10.7777 * CHOOSE(CONTROL!$C$23, $C$13, 100%, $E$13)</f>
        <v>10.777699999999999</v>
      </c>
      <c r="D678" s="66">
        <f>10.7816 * CHOOSE(CONTROL!$C$23, $C$13, 100%, $E$13)</f>
        <v>10.781599999999999</v>
      </c>
      <c r="E678" s="67">
        <f>12.2292 * CHOOSE(CONTROL!$C$23, $C$13, 100%, $E$13)</f>
        <v>12.229200000000001</v>
      </c>
      <c r="F678" s="67">
        <f>12.2292 * CHOOSE(CONTROL!$C$23, $C$13, 100%, $E$13)</f>
        <v>12.229200000000001</v>
      </c>
      <c r="G678" s="67">
        <f>12.234 * CHOOSE(CONTROL!$C$23, $C$13, 100%, $E$13)</f>
        <v>12.234</v>
      </c>
      <c r="H678" s="67">
        <f>22.9899* CHOOSE(CONTROL!$C$23, $C$13, 100%, $E$13)</f>
        <v>22.989899999999999</v>
      </c>
      <c r="I678" s="67">
        <f>22.9946 * CHOOSE(CONTROL!$C$23, $C$13, 100%, $E$13)</f>
        <v>22.994599999999998</v>
      </c>
      <c r="J678" s="67">
        <f>12.2292 * CHOOSE(CONTROL!$C$23, $C$13, 100%, $E$13)</f>
        <v>12.229200000000001</v>
      </c>
      <c r="K678" s="67">
        <f>12.234 * CHOOSE(CONTROL!$C$23, $C$13, 100%, $E$13)</f>
        <v>12.234</v>
      </c>
    </row>
    <row r="679" spans="1:11" ht="15">
      <c r="A679" s="13">
        <v>61788</v>
      </c>
      <c r="B679" s="66">
        <f>10.7747 * CHOOSE(CONTROL!$C$23, $C$13, 100%, $E$13)</f>
        <v>10.774699999999999</v>
      </c>
      <c r="C679" s="66">
        <f>10.7747 * CHOOSE(CONTROL!$C$23, $C$13, 100%, $E$13)</f>
        <v>10.774699999999999</v>
      </c>
      <c r="D679" s="66">
        <f>10.7785 * CHOOSE(CONTROL!$C$23, $C$13, 100%, $E$13)</f>
        <v>10.778499999999999</v>
      </c>
      <c r="E679" s="67">
        <f>12.397 * CHOOSE(CONTROL!$C$23, $C$13, 100%, $E$13)</f>
        <v>12.397</v>
      </c>
      <c r="F679" s="67">
        <f>12.397 * CHOOSE(CONTROL!$C$23, $C$13, 100%, $E$13)</f>
        <v>12.397</v>
      </c>
      <c r="G679" s="67">
        <f>12.4017 * CHOOSE(CONTROL!$C$23, $C$13, 100%, $E$13)</f>
        <v>12.4017</v>
      </c>
      <c r="H679" s="67">
        <f>23.0378* CHOOSE(CONTROL!$C$23, $C$13, 100%, $E$13)</f>
        <v>23.037800000000001</v>
      </c>
      <c r="I679" s="67">
        <f>23.0425 * CHOOSE(CONTROL!$C$23, $C$13, 100%, $E$13)</f>
        <v>23.0425</v>
      </c>
      <c r="J679" s="67">
        <f>12.397 * CHOOSE(CONTROL!$C$23, $C$13, 100%, $E$13)</f>
        <v>12.397</v>
      </c>
      <c r="K679" s="67">
        <f>12.4017 * CHOOSE(CONTROL!$C$23, $C$13, 100%, $E$13)</f>
        <v>12.4017</v>
      </c>
    </row>
    <row r="680" spans="1:11" ht="15">
      <c r="A680" s="13">
        <v>61819</v>
      </c>
      <c r="B680" s="66">
        <f>10.778 * CHOOSE(CONTROL!$C$23, $C$13, 100%, $E$13)</f>
        <v>10.778</v>
      </c>
      <c r="C680" s="66">
        <f>10.778 * CHOOSE(CONTROL!$C$23, $C$13, 100%, $E$13)</f>
        <v>10.778</v>
      </c>
      <c r="D680" s="66">
        <f>10.7819 * CHOOSE(CONTROL!$C$23, $C$13, 100%, $E$13)</f>
        <v>10.7819</v>
      </c>
      <c r="E680" s="67">
        <f>12.5752 * CHOOSE(CONTROL!$C$23, $C$13, 100%, $E$13)</f>
        <v>12.575200000000001</v>
      </c>
      <c r="F680" s="67">
        <f>12.5752 * CHOOSE(CONTROL!$C$23, $C$13, 100%, $E$13)</f>
        <v>12.575200000000001</v>
      </c>
      <c r="G680" s="67">
        <f>12.5799 * CHOOSE(CONTROL!$C$23, $C$13, 100%, $E$13)</f>
        <v>12.5799</v>
      </c>
      <c r="H680" s="67">
        <f>23.0858* CHOOSE(CONTROL!$C$23, $C$13, 100%, $E$13)</f>
        <v>23.085799999999999</v>
      </c>
      <c r="I680" s="67">
        <f>23.0905 * CHOOSE(CONTROL!$C$23, $C$13, 100%, $E$13)</f>
        <v>23.090499999999999</v>
      </c>
      <c r="J680" s="67">
        <f>12.5752 * CHOOSE(CONTROL!$C$23, $C$13, 100%, $E$13)</f>
        <v>12.575200000000001</v>
      </c>
      <c r="K680" s="67">
        <f>12.5799 * CHOOSE(CONTROL!$C$23, $C$13, 100%, $E$13)</f>
        <v>12.5799</v>
      </c>
    </row>
    <row r="681" spans="1:11" ht="15">
      <c r="A681" s="13">
        <v>61849</v>
      </c>
      <c r="B681" s="66">
        <f>10.778 * CHOOSE(CONTROL!$C$23, $C$13, 100%, $E$13)</f>
        <v>10.778</v>
      </c>
      <c r="C681" s="66">
        <f>10.778 * CHOOSE(CONTROL!$C$23, $C$13, 100%, $E$13)</f>
        <v>10.778</v>
      </c>
      <c r="D681" s="66">
        <f>10.7835 * CHOOSE(CONTROL!$C$23, $C$13, 100%, $E$13)</f>
        <v>10.7835</v>
      </c>
      <c r="E681" s="67">
        <f>12.6436 * CHOOSE(CONTROL!$C$23, $C$13, 100%, $E$13)</f>
        <v>12.643599999999999</v>
      </c>
      <c r="F681" s="67">
        <f>12.6436 * CHOOSE(CONTROL!$C$23, $C$13, 100%, $E$13)</f>
        <v>12.643599999999999</v>
      </c>
      <c r="G681" s="67">
        <f>12.6503 * CHOOSE(CONTROL!$C$23, $C$13, 100%, $E$13)</f>
        <v>12.6503</v>
      </c>
      <c r="H681" s="67">
        <f>23.1339* CHOOSE(CONTROL!$C$23, $C$13, 100%, $E$13)</f>
        <v>23.133900000000001</v>
      </c>
      <c r="I681" s="67">
        <f>23.1406 * CHOOSE(CONTROL!$C$23, $C$13, 100%, $E$13)</f>
        <v>23.140599999999999</v>
      </c>
      <c r="J681" s="67">
        <f>12.6436 * CHOOSE(CONTROL!$C$23, $C$13, 100%, $E$13)</f>
        <v>12.643599999999999</v>
      </c>
      <c r="K681" s="67">
        <f>12.6503 * CHOOSE(CONTROL!$C$23, $C$13, 100%, $E$13)</f>
        <v>12.6503</v>
      </c>
    </row>
    <row r="682" spans="1:11" ht="15">
      <c r="A682" s="13">
        <v>61880</v>
      </c>
      <c r="B682" s="66">
        <f>10.7841 * CHOOSE(CONTROL!$C$23, $C$13, 100%, $E$13)</f>
        <v>10.7841</v>
      </c>
      <c r="C682" s="66">
        <f>10.7841 * CHOOSE(CONTROL!$C$23, $C$13, 100%, $E$13)</f>
        <v>10.7841</v>
      </c>
      <c r="D682" s="66">
        <f>10.7896 * CHOOSE(CONTROL!$C$23, $C$13, 100%, $E$13)</f>
        <v>10.7896</v>
      </c>
      <c r="E682" s="67">
        <f>12.5794 * CHOOSE(CONTROL!$C$23, $C$13, 100%, $E$13)</f>
        <v>12.5794</v>
      </c>
      <c r="F682" s="67">
        <f>12.5794 * CHOOSE(CONTROL!$C$23, $C$13, 100%, $E$13)</f>
        <v>12.5794</v>
      </c>
      <c r="G682" s="67">
        <f>12.5861 * CHOOSE(CONTROL!$C$23, $C$13, 100%, $E$13)</f>
        <v>12.5861</v>
      </c>
      <c r="H682" s="67">
        <f>23.1821* CHOOSE(CONTROL!$C$23, $C$13, 100%, $E$13)</f>
        <v>23.182099999999998</v>
      </c>
      <c r="I682" s="67">
        <f>23.1888 * CHOOSE(CONTROL!$C$23, $C$13, 100%, $E$13)</f>
        <v>23.188800000000001</v>
      </c>
      <c r="J682" s="67">
        <f>12.5794 * CHOOSE(CONTROL!$C$23, $C$13, 100%, $E$13)</f>
        <v>12.5794</v>
      </c>
      <c r="K682" s="67">
        <f>12.5861 * CHOOSE(CONTROL!$C$23, $C$13, 100%, $E$13)</f>
        <v>12.5861</v>
      </c>
    </row>
    <row r="683" spans="1:11" ht="15">
      <c r="A683" s="13">
        <v>61910</v>
      </c>
      <c r="B683" s="66">
        <f>10.9499 * CHOOSE(CONTROL!$C$23, $C$13, 100%, $E$13)</f>
        <v>10.9499</v>
      </c>
      <c r="C683" s="66">
        <f>10.9499 * CHOOSE(CONTROL!$C$23, $C$13, 100%, $E$13)</f>
        <v>10.9499</v>
      </c>
      <c r="D683" s="66">
        <f>10.9554 * CHOOSE(CONTROL!$C$23, $C$13, 100%, $E$13)</f>
        <v>10.955399999999999</v>
      </c>
      <c r="E683" s="67">
        <f>12.7821 * CHOOSE(CONTROL!$C$23, $C$13, 100%, $E$13)</f>
        <v>12.7821</v>
      </c>
      <c r="F683" s="67">
        <f>12.7821 * CHOOSE(CONTROL!$C$23, $C$13, 100%, $E$13)</f>
        <v>12.7821</v>
      </c>
      <c r="G683" s="67">
        <f>12.7888 * CHOOSE(CONTROL!$C$23, $C$13, 100%, $E$13)</f>
        <v>12.7888</v>
      </c>
      <c r="H683" s="67">
        <f>23.2304* CHOOSE(CONTROL!$C$23, $C$13, 100%, $E$13)</f>
        <v>23.230399999999999</v>
      </c>
      <c r="I683" s="67">
        <f>23.2371 * CHOOSE(CONTROL!$C$23, $C$13, 100%, $E$13)</f>
        <v>23.237100000000002</v>
      </c>
      <c r="J683" s="67">
        <f>12.7821 * CHOOSE(CONTROL!$C$23, $C$13, 100%, $E$13)</f>
        <v>12.7821</v>
      </c>
      <c r="K683" s="67">
        <f>12.7888 * CHOOSE(CONTROL!$C$23, $C$13, 100%, $E$13)</f>
        <v>12.7888</v>
      </c>
    </row>
    <row r="684" spans="1:11" ht="15">
      <c r="A684" s="13">
        <v>61941</v>
      </c>
      <c r="B684" s="66">
        <f>10.9566 * CHOOSE(CONTROL!$C$23, $C$13, 100%, $E$13)</f>
        <v>10.9566</v>
      </c>
      <c r="C684" s="66">
        <f>10.9566 * CHOOSE(CONTROL!$C$23, $C$13, 100%, $E$13)</f>
        <v>10.9566</v>
      </c>
      <c r="D684" s="66">
        <f>10.9621 * CHOOSE(CONTROL!$C$23, $C$13, 100%, $E$13)</f>
        <v>10.9621</v>
      </c>
      <c r="E684" s="67">
        <f>12.5815 * CHOOSE(CONTROL!$C$23, $C$13, 100%, $E$13)</f>
        <v>12.5815</v>
      </c>
      <c r="F684" s="67">
        <f>12.5815 * CHOOSE(CONTROL!$C$23, $C$13, 100%, $E$13)</f>
        <v>12.5815</v>
      </c>
      <c r="G684" s="67">
        <f>12.5882 * CHOOSE(CONTROL!$C$23, $C$13, 100%, $E$13)</f>
        <v>12.588200000000001</v>
      </c>
      <c r="H684" s="67">
        <f>23.2788* CHOOSE(CONTROL!$C$23, $C$13, 100%, $E$13)</f>
        <v>23.2788</v>
      </c>
      <c r="I684" s="67">
        <f>23.2855 * CHOOSE(CONTROL!$C$23, $C$13, 100%, $E$13)</f>
        <v>23.285499999999999</v>
      </c>
      <c r="J684" s="67">
        <f>12.5815 * CHOOSE(CONTROL!$C$23, $C$13, 100%, $E$13)</f>
        <v>12.5815</v>
      </c>
      <c r="K684" s="67">
        <f>12.5882 * CHOOSE(CONTROL!$C$23, $C$13, 100%, $E$13)</f>
        <v>12.588200000000001</v>
      </c>
    </row>
    <row r="685" spans="1:11" ht="15">
      <c r="A685" s="13">
        <v>61972</v>
      </c>
      <c r="B685" s="66">
        <f>10.9536 * CHOOSE(CONTROL!$C$23, $C$13, 100%, $E$13)</f>
        <v>10.9536</v>
      </c>
      <c r="C685" s="66">
        <f>10.9536 * CHOOSE(CONTROL!$C$23, $C$13, 100%, $E$13)</f>
        <v>10.9536</v>
      </c>
      <c r="D685" s="66">
        <f>10.9591 * CHOOSE(CONTROL!$C$23, $C$13, 100%, $E$13)</f>
        <v>10.959099999999999</v>
      </c>
      <c r="E685" s="67">
        <f>12.5566 * CHOOSE(CONTROL!$C$23, $C$13, 100%, $E$13)</f>
        <v>12.5566</v>
      </c>
      <c r="F685" s="67">
        <f>12.5566 * CHOOSE(CONTROL!$C$23, $C$13, 100%, $E$13)</f>
        <v>12.5566</v>
      </c>
      <c r="G685" s="67">
        <f>12.5633 * CHOOSE(CONTROL!$C$23, $C$13, 100%, $E$13)</f>
        <v>12.5633</v>
      </c>
      <c r="H685" s="67">
        <f>23.3272* CHOOSE(CONTROL!$C$23, $C$13, 100%, $E$13)</f>
        <v>23.327200000000001</v>
      </c>
      <c r="I685" s="67">
        <f>23.334 * CHOOSE(CONTROL!$C$23, $C$13, 100%, $E$13)</f>
        <v>23.334</v>
      </c>
      <c r="J685" s="67">
        <f>12.5566 * CHOOSE(CONTROL!$C$23, $C$13, 100%, $E$13)</f>
        <v>12.5566</v>
      </c>
      <c r="K685" s="67">
        <f>12.5633 * CHOOSE(CONTROL!$C$23, $C$13, 100%, $E$13)</f>
        <v>12.5633</v>
      </c>
    </row>
    <row r="686" spans="1:11" ht="15">
      <c r="A686" s="13">
        <v>62002</v>
      </c>
      <c r="B686" s="66">
        <f>10.9711 * CHOOSE(CONTROL!$C$23, $C$13, 100%, $E$13)</f>
        <v>10.9711</v>
      </c>
      <c r="C686" s="66">
        <f>10.9711 * CHOOSE(CONTROL!$C$23, $C$13, 100%, $E$13)</f>
        <v>10.9711</v>
      </c>
      <c r="D686" s="66">
        <f>10.975 * CHOOSE(CONTROL!$C$23, $C$13, 100%, $E$13)</f>
        <v>10.975</v>
      </c>
      <c r="E686" s="67">
        <f>12.6344 * CHOOSE(CONTROL!$C$23, $C$13, 100%, $E$13)</f>
        <v>12.634399999999999</v>
      </c>
      <c r="F686" s="67">
        <f>12.6344 * CHOOSE(CONTROL!$C$23, $C$13, 100%, $E$13)</f>
        <v>12.634399999999999</v>
      </c>
      <c r="G686" s="67">
        <f>12.6391 * CHOOSE(CONTROL!$C$23, $C$13, 100%, $E$13)</f>
        <v>12.639099999999999</v>
      </c>
      <c r="H686" s="67">
        <f>23.3758* CHOOSE(CONTROL!$C$23, $C$13, 100%, $E$13)</f>
        <v>23.375800000000002</v>
      </c>
      <c r="I686" s="67">
        <f>23.3806 * CHOOSE(CONTROL!$C$23, $C$13, 100%, $E$13)</f>
        <v>23.380600000000001</v>
      </c>
      <c r="J686" s="67">
        <f>12.6344 * CHOOSE(CONTROL!$C$23, $C$13, 100%, $E$13)</f>
        <v>12.634399999999999</v>
      </c>
      <c r="K686" s="67">
        <f>12.6391 * CHOOSE(CONTROL!$C$23, $C$13, 100%, $E$13)</f>
        <v>12.639099999999999</v>
      </c>
    </row>
    <row r="687" spans="1:11" ht="15">
      <c r="A687" s="13">
        <v>62033</v>
      </c>
      <c r="B687" s="66">
        <f>10.9742 * CHOOSE(CONTROL!$C$23, $C$13, 100%, $E$13)</f>
        <v>10.9742</v>
      </c>
      <c r="C687" s="66">
        <f>10.9742 * CHOOSE(CONTROL!$C$23, $C$13, 100%, $E$13)</f>
        <v>10.9742</v>
      </c>
      <c r="D687" s="66">
        <f>10.9781 * CHOOSE(CONTROL!$C$23, $C$13, 100%, $E$13)</f>
        <v>10.9781</v>
      </c>
      <c r="E687" s="67">
        <f>12.6821 * CHOOSE(CONTROL!$C$23, $C$13, 100%, $E$13)</f>
        <v>12.6821</v>
      </c>
      <c r="F687" s="67">
        <f>12.6821 * CHOOSE(CONTROL!$C$23, $C$13, 100%, $E$13)</f>
        <v>12.6821</v>
      </c>
      <c r="G687" s="67">
        <f>12.6869 * CHOOSE(CONTROL!$C$23, $C$13, 100%, $E$13)</f>
        <v>12.6869</v>
      </c>
      <c r="H687" s="67">
        <f>23.4245* CHOOSE(CONTROL!$C$23, $C$13, 100%, $E$13)</f>
        <v>23.424499999999998</v>
      </c>
      <c r="I687" s="67">
        <f>23.4293 * CHOOSE(CONTROL!$C$23, $C$13, 100%, $E$13)</f>
        <v>23.429300000000001</v>
      </c>
      <c r="J687" s="67">
        <f>12.6821 * CHOOSE(CONTROL!$C$23, $C$13, 100%, $E$13)</f>
        <v>12.6821</v>
      </c>
      <c r="K687" s="67">
        <f>12.6869 * CHOOSE(CONTROL!$C$23, $C$13, 100%, $E$13)</f>
        <v>12.6869</v>
      </c>
    </row>
    <row r="688" spans="1:11" ht="15">
      <c r="A688" s="13">
        <v>62063</v>
      </c>
      <c r="B688" s="66">
        <f>10.9742 * CHOOSE(CONTROL!$C$23, $C$13, 100%, $E$13)</f>
        <v>10.9742</v>
      </c>
      <c r="C688" s="66">
        <f>10.9742 * CHOOSE(CONTROL!$C$23, $C$13, 100%, $E$13)</f>
        <v>10.9742</v>
      </c>
      <c r="D688" s="66">
        <f>10.9781 * CHOOSE(CONTROL!$C$23, $C$13, 100%, $E$13)</f>
        <v>10.9781</v>
      </c>
      <c r="E688" s="67">
        <f>12.5681 * CHOOSE(CONTROL!$C$23, $C$13, 100%, $E$13)</f>
        <v>12.568099999999999</v>
      </c>
      <c r="F688" s="67">
        <f>12.5681 * CHOOSE(CONTROL!$C$23, $C$13, 100%, $E$13)</f>
        <v>12.568099999999999</v>
      </c>
      <c r="G688" s="67">
        <f>12.5729 * CHOOSE(CONTROL!$C$23, $C$13, 100%, $E$13)</f>
        <v>12.572900000000001</v>
      </c>
      <c r="H688" s="67">
        <f>23.4733* CHOOSE(CONTROL!$C$23, $C$13, 100%, $E$13)</f>
        <v>23.473299999999998</v>
      </c>
      <c r="I688" s="67">
        <f>23.4781 * CHOOSE(CONTROL!$C$23, $C$13, 100%, $E$13)</f>
        <v>23.478100000000001</v>
      </c>
      <c r="J688" s="67">
        <f>12.5681 * CHOOSE(CONTROL!$C$23, $C$13, 100%, $E$13)</f>
        <v>12.568099999999999</v>
      </c>
      <c r="K688" s="67">
        <f>12.5729 * CHOOSE(CONTROL!$C$23, $C$13, 100%, $E$13)</f>
        <v>12.572900000000001</v>
      </c>
    </row>
    <row r="689" spans="1:11" ht="15">
      <c r="A689" s="13">
        <v>62094</v>
      </c>
      <c r="B689" s="66">
        <f>11.0163 * CHOOSE(CONTROL!$C$23, $C$13, 100%, $E$13)</f>
        <v>11.016299999999999</v>
      </c>
      <c r="C689" s="66">
        <f>11.0163 * CHOOSE(CONTROL!$C$23, $C$13, 100%, $E$13)</f>
        <v>11.016299999999999</v>
      </c>
      <c r="D689" s="66">
        <f>11.0202 * CHOOSE(CONTROL!$C$23, $C$13, 100%, $E$13)</f>
        <v>11.020200000000001</v>
      </c>
      <c r="E689" s="67">
        <f>12.7015 * CHOOSE(CONTROL!$C$23, $C$13, 100%, $E$13)</f>
        <v>12.701499999999999</v>
      </c>
      <c r="F689" s="67">
        <f>12.7015 * CHOOSE(CONTROL!$C$23, $C$13, 100%, $E$13)</f>
        <v>12.701499999999999</v>
      </c>
      <c r="G689" s="67">
        <f>12.7063 * CHOOSE(CONTROL!$C$23, $C$13, 100%, $E$13)</f>
        <v>12.706300000000001</v>
      </c>
      <c r="H689" s="67">
        <f>23.4246* CHOOSE(CONTROL!$C$23, $C$13, 100%, $E$13)</f>
        <v>23.424600000000002</v>
      </c>
      <c r="I689" s="67">
        <f>23.4294 * CHOOSE(CONTROL!$C$23, $C$13, 100%, $E$13)</f>
        <v>23.429400000000001</v>
      </c>
      <c r="J689" s="67">
        <f>12.7015 * CHOOSE(CONTROL!$C$23, $C$13, 100%, $E$13)</f>
        <v>12.701499999999999</v>
      </c>
      <c r="K689" s="67">
        <f>12.7063 * CHOOSE(CONTROL!$C$23, $C$13, 100%, $E$13)</f>
        <v>12.706300000000001</v>
      </c>
    </row>
    <row r="690" spans="1:11" ht="15">
      <c r="A690" s="13">
        <v>62125</v>
      </c>
      <c r="B690" s="66">
        <f>11.0133 * CHOOSE(CONTROL!$C$23, $C$13, 100%, $E$13)</f>
        <v>11.013299999999999</v>
      </c>
      <c r="C690" s="66">
        <f>11.0133 * CHOOSE(CONTROL!$C$23, $C$13, 100%, $E$13)</f>
        <v>11.013299999999999</v>
      </c>
      <c r="D690" s="66">
        <f>11.0171 * CHOOSE(CONTROL!$C$23, $C$13, 100%, $E$13)</f>
        <v>11.017099999999999</v>
      </c>
      <c r="E690" s="67">
        <f>12.479 * CHOOSE(CONTROL!$C$23, $C$13, 100%, $E$13)</f>
        <v>12.478999999999999</v>
      </c>
      <c r="F690" s="67">
        <f>12.479 * CHOOSE(CONTROL!$C$23, $C$13, 100%, $E$13)</f>
        <v>12.478999999999999</v>
      </c>
      <c r="G690" s="67">
        <f>12.4838 * CHOOSE(CONTROL!$C$23, $C$13, 100%, $E$13)</f>
        <v>12.4838</v>
      </c>
      <c r="H690" s="67">
        <f>23.4734* CHOOSE(CONTROL!$C$23, $C$13, 100%, $E$13)</f>
        <v>23.473400000000002</v>
      </c>
      <c r="I690" s="67">
        <f>23.4782 * CHOOSE(CONTROL!$C$23, $C$13, 100%, $E$13)</f>
        <v>23.478200000000001</v>
      </c>
      <c r="J690" s="67">
        <f>12.479 * CHOOSE(CONTROL!$C$23, $C$13, 100%, $E$13)</f>
        <v>12.478999999999999</v>
      </c>
      <c r="K690" s="67">
        <f>12.4838 * CHOOSE(CONTROL!$C$23, $C$13, 100%, $E$13)</f>
        <v>12.4838</v>
      </c>
    </row>
    <row r="691" spans="1:11" ht="15">
      <c r="A691" s="13">
        <v>62153</v>
      </c>
      <c r="B691" s="66">
        <f>11.0102 * CHOOSE(CONTROL!$C$23, $C$13, 100%, $E$13)</f>
        <v>11.010199999999999</v>
      </c>
      <c r="C691" s="66">
        <f>11.0102 * CHOOSE(CONTROL!$C$23, $C$13, 100%, $E$13)</f>
        <v>11.010199999999999</v>
      </c>
      <c r="D691" s="66">
        <f>11.0141 * CHOOSE(CONTROL!$C$23, $C$13, 100%, $E$13)</f>
        <v>11.014099999999999</v>
      </c>
      <c r="E691" s="67">
        <f>12.6507 * CHOOSE(CONTROL!$C$23, $C$13, 100%, $E$13)</f>
        <v>12.650700000000001</v>
      </c>
      <c r="F691" s="67">
        <f>12.6507 * CHOOSE(CONTROL!$C$23, $C$13, 100%, $E$13)</f>
        <v>12.650700000000001</v>
      </c>
      <c r="G691" s="67">
        <f>12.6554 * CHOOSE(CONTROL!$C$23, $C$13, 100%, $E$13)</f>
        <v>12.6554</v>
      </c>
      <c r="H691" s="67">
        <f>23.5223* CHOOSE(CONTROL!$C$23, $C$13, 100%, $E$13)</f>
        <v>23.522300000000001</v>
      </c>
      <c r="I691" s="67">
        <f>23.5271 * CHOOSE(CONTROL!$C$23, $C$13, 100%, $E$13)</f>
        <v>23.527100000000001</v>
      </c>
      <c r="J691" s="67">
        <f>12.6507 * CHOOSE(CONTROL!$C$23, $C$13, 100%, $E$13)</f>
        <v>12.650700000000001</v>
      </c>
      <c r="K691" s="67">
        <f>12.6554 * CHOOSE(CONTROL!$C$23, $C$13, 100%, $E$13)</f>
        <v>12.6554</v>
      </c>
    </row>
    <row r="692" spans="1:11" ht="15">
      <c r="A692" s="13">
        <v>62184</v>
      </c>
      <c r="B692" s="66">
        <f>11.0138 * CHOOSE(CONTROL!$C$23, $C$13, 100%, $E$13)</f>
        <v>11.0138</v>
      </c>
      <c r="C692" s="66">
        <f>11.0138 * CHOOSE(CONTROL!$C$23, $C$13, 100%, $E$13)</f>
        <v>11.0138</v>
      </c>
      <c r="D692" s="66">
        <f>11.0177 * CHOOSE(CONTROL!$C$23, $C$13, 100%, $E$13)</f>
        <v>11.0177</v>
      </c>
      <c r="E692" s="67">
        <f>12.833 * CHOOSE(CONTROL!$C$23, $C$13, 100%, $E$13)</f>
        <v>12.833</v>
      </c>
      <c r="F692" s="67">
        <f>12.833 * CHOOSE(CONTROL!$C$23, $C$13, 100%, $E$13)</f>
        <v>12.833</v>
      </c>
      <c r="G692" s="67">
        <f>12.8378 * CHOOSE(CONTROL!$C$23, $C$13, 100%, $E$13)</f>
        <v>12.8378</v>
      </c>
      <c r="H692" s="67">
        <f>23.5713* CHOOSE(CONTROL!$C$23, $C$13, 100%, $E$13)</f>
        <v>23.571300000000001</v>
      </c>
      <c r="I692" s="67">
        <f>23.5761 * CHOOSE(CONTROL!$C$23, $C$13, 100%, $E$13)</f>
        <v>23.5761</v>
      </c>
      <c r="J692" s="67">
        <f>12.833 * CHOOSE(CONTROL!$C$23, $C$13, 100%, $E$13)</f>
        <v>12.833</v>
      </c>
      <c r="K692" s="67">
        <f>12.8378 * CHOOSE(CONTROL!$C$23, $C$13, 100%, $E$13)</f>
        <v>12.8378</v>
      </c>
    </row>
    <row r="693" spans="1:11" ht="15">
      <c r="A693" s="13">
        <v>62214</v>
      </c>
      <c r="B693" s="66">
        <f>11.0138 * CHOOSE(CONTROL!$C$23, $C$13, 100%, $E$13)</f>
        <v>11.0138</v>
      </c>
      <c r="C693" s="66">
        <f>11.0138 * CHOOSE(CONTROL!$C$23, $C$13, 100%, $E$13)</f>
        <v>11.0138</v>
      </c>
      <c r="D693" s="66">
        <f>11.0193 * CHOOSE(CONTROL!$C$23, $C$13, 100%, $E$13)</f>
        <v>11.019299999999999</v>
      </c>
      <c r="E693" s="67">
        <f>12.903 * CHOOSE(CONTROL!$C$23, $C$13, 100%, $E$13)</f>
        <v>12.903</v>
      </c>
      <c r="F693" s="67">
        <f>12.903 * CHOOSE(CONTROL!$C$23, $C$13, 100%, $E$13)</f>
        <v>12.903</v>
      </c>
      <c r="G693" s="67">
        <f>12.9097 * CHOOSE(CONTROL!$C$23, $C$13, 100%, $E$13)</f>
        <v>12.909700000000001</v>
      </c>
      <c r="H693" s="67">
        <f>23.6204* CHOOSE(CONTROL!$C$23, $C$13, 100%, $E$13)</f>
        <v>23.6204</v>
      </c>
      <c r="I693" s="67">
        <f>23.6272 * CHOOSE(CONTROL!$C$23, $C$13, 100%, $E$13)</f>
        <v>23.627199999999998</v>
      </c>
      <c r="J693" s="67">
        <f>12.903 * CHOOSE(CONTROL!$C$23, $C$13, 100%, $E$13)</f>
        <v>12.903</v>
      </c>
      <c r="K693" s="67">
        <f>12.9097 * CHOOSE(CONTROL!$C$23, $C$13, 100%, $E$13)</f>
        <v>12.909700000000001</v>
      </c>
    </row>
    <row r="694" spans="1:11" ht="15">
      <c r="A694" s="13">
        <v>62245</v>
      </c>
      <c r="B694" s="66">
        <f>11.0199 * CHOOSE(CONTROL!$C$23, $C$13, 100%, $E$13)</f>
        <v>11.0199</v>
      </c>
      <c r="C694" s="66">
        <f>11.0199 * CHOOSE(CONTROL!$C$23, $C$13, 100%, $E$13)</f>
        <v>11.0199</v>
      </c>
      <c r="D694" s="66">
        <f>11.0254 * CHOOSE(CONTROL!$C$23, $C$13, 100%, $E$13)</f>
        <v>11.025399999999999</v>
      </c>
      <c r="E694" s="67">
        <f>12.8373 * CHOOSE(CONTROL!$C$23, $C$13, 100%, $E$13)</f>
        <v>12.837300000000001</v>
      </c>
      <c r="F694" s="67">
        <f>12.8373 * CHOOSE(CONTROL!$C$23, $C$13, 100%, $E$13)</f>
        <v>12.837300000000001</v>
      </c>
      <c r="G694" s="67">
        <f>12.844 * CHOOSE(CONTROL!$C$23, $C$13, 100%, $E$13)</f>
        <v>12.843999999999999</v>
      </c>
      <c r="H694" s="67">
        <f>23.6697* CHOOSE(CONTROL!$C$23, $C$13, 100%, $E$13)</f>
        <v>23.669699999999999</v>
      </c>
      <c r="I694" s="67">
        <f>23.6764 * CHOOSE(CONTROL!$C$23, $C$13, 100%, $E$13)</f>
        <v>23.676400000000001</v>
      </c>
      <c r="J694" s="67">
        <f>12.8373 * CHOOSE(CONTROL!$C$23, $C$13, 100%, $E$13)</f>
        <v>12.837300000000001</v>
      </c>
      <c r="K694" s="67">
        <f>12.844 * CHOOSE(CONTROL!$C$23, $C$13, 100%, $E$13)</f>
        <v>12.843999999999999</v>
      </c>
    </row>
    <row r="695" spans="1:11" ht="15">
      <c r="A695" s="13">
        <v>62275</v>
      </c>
      <c r="B695" s="66">
        <f>11.1891 * CHOOSE(CONTROL!$C$23, $C$13, 100%, $E$13)</f>
        <v>11.1891</v>
      </c>
      <c r="C695" s="66">
        <f>11.1891 * CHOOSE(CONTROL!$C$23, $C$13, 100%, $E$13)</f>
        <v>11.1891</v>
      </c>
      <c r="D695" s="66">
        <f>11.1946 * CHOOSE(CONTROL!$C$23, $C$13, 100%, $E$13)</f>
        <v>11.194599999999999</v>
      </c>
      <c r="E695" s="67">
        <f>13.0438 * CHOOSE(CONTROL!$C$23, $C$13, 100%, $E$13)</f>
        <v>13.043799999999999</v>
      </c>
      <c r="F695" s="67">
        <f>13.0438 * CHOOSE(CONTROL!$C$23, $C$13, 100%, $E$13)</f>
        <v>13.043799999999999</v>
      </c>
      <c r="G695" s="67">
        <f>13.0506 * CHOOSE(CONTROL!$C$23, $C$13, 100%, $E$13)</f>
        <v>13.050599999999999</v>
      </c>
      <c r="H695" s="67">
        <f>23.719* CHOOSE(CONTROL!$C$23, $C$13, 100%, $E$13)</f>
        <v>23.719000000000001</v>
      </c>
      <c r="I695" s="67">
        <f>23.7257 * CHOOSE(CONTROL!$C$23, $C$13, 100%, $E$13)</f>
        <v>23.7257</v>
      </c>
      <c r="J695" s="67">
        <f>13.0438 * CHOOSE(CONTROL!$C$23, $C$13, 100%, $E$13)</f>
        <v>13.043799999999999</v>
      </c>
      <c r="K695" s="67">
        <f>13.0506 * CHOOSE(CONTROL!$C$23, $C$13, 100%, $E$13)</f>
        <v>13.050599999999999</v>
      </c>
    </row>
    <row r="696" spans="1:11" ht="15">
      <c r="A696" s="13">
        <v>62306</v>
      </c>
      <c r="B696" s="66">
        <f>11.1958 * CHOOSE(CONTROL!$C$23, $C$13, 100%, $E$13)</f>
        <v>11.1958</v>
      </c>
      <c r="C696" s="66">
        <f>11.1958 * CHOOSE(CONTROL!$C$23, $C$13, 100%, $E$13)</f>
        <v>11.1958</v>
      </c>
      <c r="D696" s="66">
        <f>11.2013 * CHOOSE(CONTROL!$C$23, $C$13, 100%, $E$13)</f>
        <v>11.2013</v>
      </c>
      <c r="E696" s="67">
        <f>12.8386 * CHOOSE(CONTROL!$C$23, $C$13, 100%, $E$13)</f>
        <v>12.8386</v>
      </c>
      <c r="F696" s="67">
        <f>12.8386 * CHOOSE(CONTROL!$C$23, $C$13, 100%, $E$13)</f>
        <v>12.8386</v>
      </c>
      <c r="G696" s="67">
        <f>12.8453 * CHOOSE(CONTROL!$C$23, $C$13, 100%, $E$13)</f>
        <v>12.8453</v>
      </c>
      <c r="H696" s="67">
        <f>23.7684* CHOOSE(CONTROL!$C$23, $C$13, 100%, $E$13)</f>
        <v>23.7684</v>
      </c>
      <c r="I696" s="67">
        <f>23.7751 * CHOOSE(CONTROL!$C$23, $C$13, 100%, $E$13)</f>
        <v>23.775099999999998</v>
      </c>
      <c r="J696" s="67">
        <f>12.8386 * CHOOSE(CONTROL!$C$23, $C$13, 100%, $E$13)</f>
        <v>12.8386</v>
      </c>
      <c r="K696" s="67">
        <f>12.8453 * CHOOSE(CONTROL!$C$23, $C$13, 100%, $E$13)</f>
        <v>12.8453</v>
      </c>
    </row>
    <row r="697" spans="1:11" ht="15">
      <c r="A697" s="13">
        <v>62337</v>
      </c>
      <c r="B697" s="66">
        <f>11.1927 * CHOOSE(CONTROL!$C$23, $C$13, 100%, $E$13)</f>
        <v>11.1927</v>
      </c>
      <c r="C697" s="66">
        <f>11.1927 * CHOOSE(CONTROL!$C$23, $C$13, 100%, $E$13)</f>
        <v>11.1927</v>
      </c>
      <c r="D697" s="66">
        <f>11.1982 * CHOOSE(CONTROL!$C$23, $C$13, 100%, $E$13)</f>
        <v>11.1982</v>
      </c>
      <c r="E697" s="67">
        <f>12.8131 * CHOOSE(CONTROL!$C$23, $C$13, 100%, $E$13)</f>
        <v>12.8131</v>
      </c>
      <c r="F697" s="67">
        <f>12.8131 * CHOOSE(CONTROL!$C$23, $C$13, 100%, $E$13)</f>
        <v>12.8131</v>
      </c>
      <c r="G697" s="67">
        <f>12.8199 * CHOOSE(CONTROL!$C$23, $C$13, 100%, $E$13)</f>
        <v>12.819900000000001</v>
      </c>
      <c r="H697" s="67">
        <f>23.8179* CHOOSE(CONTROL!$C$23, $C$13, 100%, $E$13)</f>
        <v>23.817900000000002</v>
      </c>
      <c r="I697" s="67">
        <f>23.8246 * CHOOSE(CONTROL!$C$23, $C$13, 100%, $E$13)</f>
        <v>23.8246</v>
      </c>
      <c r="J697" s="67">
        <f>12.8131 * CHOOSE(CONTROL!$C$23, $C$13, 100%, $E$13)</f>
        <v>12.8131</v>
      </c>
      <c r="K697" s="67">
        <f>12.8199 * CHOOSE(CONTROL!$C$23, $C$13, 100%, $E$13)</f>
        <v>12.819900000000001</v>
      </c>
    </row>
    <row r="698" spans="1:11" ht="15">
      <c r="A698" s="13">
        <v>62367</v>
      </c>
      <c r="B698" s="66">
        <f>11.2111 * CHOOSE(CONTROL!$C$23, $C$13, 100%, $E$13)</f>
        <v>11.2111</v>
      </c>
      <c r="C698" s="66">
        <f>11.2111 * CHOOSE(CONTROL!$C$23, $C$13, 100%, $E$13)</f>
        <v>11.2111</v>
      </c>
      <c r="D698" s="66">
        <f>11.215 * CHOOSE(CONTROL!$C$23, $C$13, 100%, $E$13)</f>
        <v>11.215</v>
      </c>
      <c r="E698" s="67">
        <f>12.893 * CHOOSE(CONTROL!$C$23, $C$13, 100%, $E$13)</f>
        <v>12.893000000000001</v>
      </c>
      <c r="F698" s="67">
        <f>12.893 * CHOOSE(CONTROL!$C$23, $C$13, 100%, $E$13)</f>
        <v>12.893000000000001</v>
      </c>
      <c r="G698" s="67">
        <f>12.8978 * CHOOSE(CONTROL!$C$23, $C$13, 100%, $E$13)</f>
        <v>12.8978</v>
      </c>
      <c r="H698" s="67">
        <f>23.8675* CHOOSE(CONTROL!$C$23, $C$13, 100%, $E$13)</f>
        <v>23.8675</v>
      </c>
      <c r="I698" s="67">
        <f>23.8723 * CHOOSE(CONTROL!$C$23, $C$13, 100%, $E$13)</f>
        <v>23.872299999999999</v>
      </c>
      <c r="J698" s="67">
        <f>12.893 * CHOOSE(CONTROL!$C$23, $C$13, 100%, $E$13)</f>
        <v>12.893000000000001</v>
      </c>
      <c r="K698" s="67">
        <f>12.8978 * CHOOSE(CONTROL!$C$23, $C$13, 100%, $E$13)</f>
        <v>12.8978</v>
      </c>
    </row>
    <row r="699" spans="1:11" ht="15">
      <c r="A699" s="13">
        <v>62398</v>
      </c>
      <c r="B699" s="66">
        <f>11.2141 * CHOOSE(CONTROL!$C$23, $C$13, 100%, $E$13)</f>
        <v>11.2141</v>
      </c>
      <c r="C699" s="66">
        <f>11.2141 * CHOOSE(CONTROL!$C$23, $C$13, 100%, $E$13)</f>
        <v>11.2141</v>
      </c>
      <c r="D699" s="66">
        <f>11.218 * CHOOSE(CONTROL!$C$23, $C$13, 100%, $E$13)</f>
        <v>11.218</v>
      </c>
      <c r="E699" s="67">
        <f>12.9418 * CHOOSE(CONTROL!$C$23, $C$13, 100%, $E$13)</f>
        <v>12.941800000000001</v>
      </c>
      <c r="F699" s="67">
        <f>12.9418 * CHOOSE(CONTROL!$C$23, $C$13, 100%, $E$13)</f>
        <v>12.941800000000001</v>
      </c>
      <c r="G699" s="67">
        <f>12.9465 * CHOOSE(CONTROL!$C$23, $C$13, 100%, $E$13)</f>
        <v>12.9465</v>
      </c>
      <c r="H699" s="67">
        <f>23.9172* CHOOSE(CONTROL!$C$23, $C$13, 100%, $E$13)</f>
        <v>23.917200000000001</v>
      </c>
      <c r="I699" s="67">
        <f>23.922 * CHOOSE(CONTROL!$C$23, $C$13, 100%, $E$13)</f>
        <v>23.922000000000001</v>
      </c>
      <c r="J699" s="67">
        <f>12.9418 * CHOOSE(CONTROL!$C$23, $C$13, 100%, $E$13)</f>
        <v>12.941800000000001</v>
      </c>
      <c r="K699" s="67">
        <f>12.9465 * CHOOSE(CONTROL!$C$23, $C$13, 100%, $E$13)</f>
        <v>12.9465</v>
      </c>
    </row>
    <row r="700" spans="1:11" ht="15">
      <c r="A700" s="13">
        <v>62428</v>
      </c>
      <c r="B700" s="66">
        <f>11.2141 * CHOOSE(CONTROL!$C$23, $C$13, 100%, $E$13)</f>
        <v>11.2141</v>
      </c>
      <c r="C700" s="66">
        <f>11.2141 * CHOOSE(CONTROL!$C$23, $C$13, 100%, $E$13)</f>
        <v>11.2141</v>
      </c>
      <c r="D700" s="66">
        <f>11.218 * CHOOSE(CONTROL!$C$23, $C$13, 100%, $E$13)</f>
        <v>11.218</v>
      </c>
      <c r="E700" s="67">
        <f>12.8252 * CHOOSE(CONTROL!$C$23, $C$13, 100%, $E$13)</f>
        <v>12.825200000000001</v>
      </c>
      <c r="F700" s="67">
        <f>12.8252 * CHOOSE(CONTROL!$C$23, $C$13, 100%, $E$13)</f>
        <v>12.825200000000001</v>
      </c>
      <c r="G700" s="67">
        <f>12.8299 * CHOOSE(CONTROL!$C$23, $C$13, 100%, $E$13)</f>
        <v>12.8299</v>
      </c>
      <c r="H700" s="67">
        <f>23.9671* CHOOSE(CONTROL!$C$23, $C$13, 100%, $E$13)</f>
        <v>23.967099999999999</v>
      </c>
      <c r="I700" s="67">
        <f>23.9718 * CHOOSE(CONTROL!$C$23, $C$13, 100%, $E$13)</f>
        <v>23.971800000000002</v>
      </c>
      <c r="J700" s="67">
        <f>12.8252 * CHOOSE(CONTROL!$C$23, $C$13, 100%, $E$13)</f>
        <v>12.825200000000001</v>
      </c>
      <c r="K700" s="67">
        <f>12.8299 * CHOOSE(CONTROL!$C$23, $C$13, 100%, $E$13)</f>
        <v>12.8299</v>
      </c>
    </row>
    <row r="701" spans="1:11" ht="15">
      <c r="A701" s="13">
        <v>62459</v>
      </c>
      <c r="B701" s="66">
        <f>11.2519 * CHOOSE(CONTROL!$C$23, $C$13, 100%, $E$13)</f>
        <v>11.251899999999999</v>
      </c>
      <c r="C701" s="66">
        <f>11.2519 * CHOOSE(CONTROL!$C$23, $C$13, 100%, $E$13)</f>
        <v>11.251899999999999</v>
      </c>
      <c r="D701" s="66">
        <f>11.2558 * CHOOSE(CONTROL!$C$23, $C$13, 100%, $E$13)</f>
        <v>11.255800000000001</v>
      </c>
      <c r="E701" s="67">
        <f>12.9563 * CHOOSE(CONTROL!$C$23, $C$13, 100%, $E$13)</f>
        <v>12.956300000000001</v>
      </c>
      <c r="F701" s="67">
        <f>12.9563 * CHOOSE(CONTROL!$C$23, $C$13, 100%, $E$13)</f>
        <v>12.956300000000001</v>
      </c>
      <c r="G701" s="67">
        <f>12.961 * CHOOSE(CONTROL!$C$23, $C$13, 100%, $E$13)</f>
        <v>12.961</v>
      </c>
      <c r="H701" s="67">
        <f>23.9072* CHOOSE(CONTROL!$C$23, $C$13, 100%, $E$13)</f>
        <v>23.9072</v>
      </c>
      <c r="I701" s="67">
        <f>23.9119 * CHOOSE(CONTROL!$C$23, $C$13, 100%, $E$13)</f>
        <v>23.911899999999999</v>
      </c>
      <c r="J701" s="67">
        <f>12.9563 * CHOOSE(CONTROL!$C$23, $C$13, 100%, $E$13)</f>
        <v>12.956300000000001</v>
      </c>
      <c r="K701" s="67">
        <f>12.961 * CHOOSE(CONTROL!$C$23, $C$13, 100%, $E$13)</f>
        <v>12.961</v>
      </c>
    </row>
    <row r="702" spans="1:11" ht="15">
      <c r="A702" s="13">
        <v>62490</v>
      </c>
      <c r="B702" s="66">
        <f>11.2488 * CHOOSE(CONTROL!$C$23, $C$13, 100%, $E$13)</f>
        <v>11.248799999999999</v>
      </c>
      <c r="C702" s="66">
        <f>11.2488 * CHOOSE(CONTROL!$C$23, $C$13, 100%, $E$13)</f>
        <v>11.248799999999999</v>
      </c>
      <c r="D702" s="66">
        <f>11.2527 * CHOOSE(CONTROL!$C$23, $C$13, 100%, $E$13)</f>
        <v>11.252700000000001</v>
      </c>
      <c r="E702" s="67">
        <f>12.7288 * CHOOSE(CONTROL!$C$23, $C$13, 100%, $E$13)</f>
        <v>12.7288</v>
      </c>
      <c r="F702" s="67">
        <f>12.7288 * CHOOSE(CONTROL!$C$23, $C$13, 100%, $E$13)</f>
        <v>12.7288</v>
      </c>
      <c r="G702" s="67">
        <f>12.7336 * CHOOSE(CONTROL!$C$23, $C$13, 100%, $E$13)</f>
        <v>12.733599999999999</v>
      </c>
      <c r="H702" s="67">
        <f>23.957* CHOOSE(CONTROL!$C$23, $C$13, 100%, $E$13)</f>
        <v>23.957000000000001</v>
      </c>
      <c r="I702" s="67">
        <f>23.9618 * CHOOSE(CONTROL!$C$23, $C$13, 100%, $E$13)</f>
        <v>23.9618</v>
      </c>
      <c r="J702" s="67">
        <f>12.7288 * CHOOSE(CONTROL!$C$23, $C$13, 100%, $E$13)</f>
        <v>12.7288</v>
      </c>
      <c r="K702" s="67">
        <f>12.7336 * CHOOSE(CONTROL!$C$23, $C$13, 100%, $E$13)</f>
        <v>12.733599999999999</v>
      </c>
    </row>
    <row r="703" spans="1:11" ht="15">
      <c r="A703" s="13">
        <v>62518</v>
      </c>
      <c r="B703" s="66">
        <f>11.2458 * CHOOSE(CONTROL!$C$23, $C$13, 100%, $E$13)</f>
        <v>11.245799999999999</v>
      </c>
      <c r="C703" s="66">
        <f>11.2458 * CHOOSE(CONTROL!$C$23, $C$13, 100%, $E$13)</f>
        <v>11.245799999999999</v>
      </c>
      <c r="D703" s="66">
        <f>11.2497 * CHOOSE(CONTROL!$C$23, $C$13, 100%, $E$13)</f>
        <v>11.249700000000001</v>
      </c>
      <c r="E703" s="67">
        <f>12.9043 * CHOOSE(CONTROL!$C$23, $C$13, 100%, $E$13)</f>
        <v>12.904299999999999</v>
      </c>
      <c r="F703" s="67">
        <f>12.9043 * CHOOSE(CONTROL!$C$23, $C$13, 100%, $E$13)</f>
        <v>12.904299999999999</v>
      </c>
      <c r="G703" s="67">
        <f>12.9091 * CHOOSE(CONTROL!$C$23, $C$13, 100%, $E$13)</f>
        <v>12.9091</v>
      </c>
      <c r="H703" s="67">
        <f>24.0069* CHOOSE(CONTROL!$C$23, $C$13, 100%, $E$13)</f>
        <v>24.006900000000002</v>
      </c>
      <c r="I703" s="67">
        <f>24.0117 * CHOOSE(CONTROL!$C$23, $C$13, 100%, $E$13)</f>
        <v>24.011700000000001</v>
      </c>
      <c r="J703" s="67">
        <f>12.9043 * CHOOSE(CONTROL!$C$23, $C$13, 100%, $E$13)</f>
        <v>12.904299999999999</v>
      </c>
      <c r="K703" s="67">
        <f>12.9091 * CHOOSE(CONTROL!$C$23, $C$13, 100%, $E$13)</f>
        <v>12.9091</v>
      </c>
    </row>
    <row r="704" spans="1:11" ht="15">
      <c r="A704" s="13">
        <v>62549</v>
      </c>
      <c r="B704" s="66">
        <f>11.2496 * CHOOSE(CONTROL!$C$23, $C$13, 100%, $E$13)</f>
        <v>11.249599999999999</v>
      </c>
      <c r="C704" s="66">
        <f>11.2496 * CHOOSE(CONTROL!$C$23, $C$13, 100%, $E$13)</f>
        <v>11.249599999999999</v>
      </c>
      <c r="D704" s="66">
        <f>11.2534 * CHOOSE(CONTROL!$C$23, $C$13, 100%, $E$13)</f>
        <v>11.253399999999999</v>
      </c>
      <c r="E704" s="67">
        <f>13.0909 * CHOOSE(CONTROL!$C$23, $C$13, 100%, $E$13)</f>
        <v>13.0909</v>
      </c>
      <c r="F704" s="67">
        <f>13.0909 * CHOOSE(CONTROL!$C$23, $C$13, 100%, $E$13)</f>
        <v>13.0909</v>
      </c>
      <c r="G704" s="67">
        <f>13.0956 * CHOOSE(CONTROL!$C$23, $C$13, 100%, $E$13)</f>
        <v>13.095599999999999</v>
      </c>
      <c r="H704" s="67">
        <f>24.0569* CHOOSE(CONTROL!$C$23, $C$13, 100%, $E$13)</f>
        <v>24.056899999999999</v>
      </c>
      <c r="I704" s="67">
        <f>24.0617 * CHOOSE(CONTROL!$C$23, $C$13, 100%, $E$13)</f>
        <v>24.061699999999998</v>
      </c>
      <c r="J704" s="67">
        <f>13.0909 * CHOOSE(CONTROL!$C$23, $C$13, 100%, $E$13)</f>
        <v>13.0909</v>
      </c>
      <c r="K704" s="67">
        <f>13.0956 * CHOOSE(CONTROL!$C$23, $C$13, 100%, $E$13)</f>
        <v>13.095599999999999</v>
      </c>
    </row>
    <row r="705" spans="1:11" ht="15">
      <c r="A705" s="13">
        <v>62579</v>
      </c>
      <c r="B705" s="66">
        <f>11.2496 * CHOOSE(CONTROL!$C$23, $C$13, 100%, $E$13)</f>
        <v>11.249599999999999</v>
      </c>
      <c r="C705" s="66">
        <f>11.2496 * CHOOSE(CONTROL!$C$23, $C$13, 100%, $E$13)</f>
        <v>11.249599999999999</v>
      </c>
      <c r="D705" s="66">
        <f>11.2551 * CHOOSE(CONTROL!$C$23, $C$13, 100%, $E$13)</f>
        <v>11.255100000000001</v>
      </c>
      <c r="E705" s="67">
        <f>13.1624 * CHOOSE(CONTROL!$C$23, $C$13, 100%, $E$13)</f>
        <v>13.1624</v>
      </c>
      <c r="F705" s="67">
        <f>13.1624 * CHOOSE(CONTROL!$C$23, $C$13, 100%, $E$13)</f>
        <v>13.1624</v>
      </c>
      <c r="G705" s="67">
        <f>13.1692 * CHOOSE(CONTROL!$C$23, $C$13, 100%, $E$13)</f>
        <v>13.1692</v>
      </c>
      <c r="H705" s="67">
        <f>24.107* CHOOSE(CONTROL!$C$23, $C$13, 100%, $E$13)</f>
        <v>24.106999999999999</v>
      </c>
      <c r="I705" s="67">
        <f>24.1138 * CHOOSE(CONTROL!$C$23, $C$13, 100%, $E$13)</f>
        <v>24.113800000000001</v>
      </c>
      <c r="J705" s="67">
        <f>13.1624 * CHOOSE(CONTROL!$C$23, $C$13, 100%, $E$13)</f>
        <v>13.1624</v>
      </c>
      <c r="K705" s="67">
        <f>13.1692 * CHOOSE(CONTROL!$C$23, $C$13, 100%, $E$13)</f>
        <v>13.1692</v>
      </c>
    </row>
    <row r="706" spans="1:11" ht="15">
      <c r="A706" s="13">
        <v>62610</v>
      </c>
      <c r="B706" s="66">
        <f>11.2556 * CHOOSE(CONTROL!$C$23, $C$13, 100%, $E$13)</f>
        <v>11.255599999999999</v>
      </c>
      <c r="C706" s="66">
        <f>11.2556 * CHOOSE(CONTROL!$C$23, $C$13, 100%, $E$13)</f>
        <v>11.255599999999999</v>
      </c>
      <c r="D706" s="66">
        <f>11.2611 * CHOOSE(CONTROL!$C$23, $C$13, 100%, $E$13)</f>
        <v>11.261100000000001</v>
      </c>
      <c r="E706" s="67">
        <f>13.0951 * CHOOSE(CONTROL!$C$23, $C$13, 100%, $E$13)</f>
        <v>13.0951</v>
      </c>
      <c r="F706" s="67">
        <f>13.0951 * CHOOSE(CONTROL!$C$23, $C$13, 100%, $E$13)</f>
        <v>13.0951</v>
      </c>
      <c r="G706" s="67">
        <f>13.1019 * CHOOSE(CONTROL!$C$23, $C$13, 100%, $E$13)</f>
        <v>13.101900000000001</v>
      </c>
      <c r="H706" s="67">
        <f>24.1572* CHOOSE(CONTROL!$C$23, $C$13, 100%, $E$13)</f>
        <v>24.1572</v>
      </c>
      <c r="I706" s="67">
        <f>24.164 * CHOOSE(CONTROL!$C$23, $C$13, 100%, $E$13)</f>
        <v>24.164000000000001</v>
      </c>
      <c r="J706" s="67">
        <f>13.0951 * CHOOSE(CONTROL!$C$23, $C$13, 100%, $E$13)</f>
        <v>13.0951</v>
      </c>
      <c r="K706" s="67">
        <f>13.1019 * CHOOSE(CONTROL!$C$23, $C$13, 100%, $E$13)</f>
        <v>13.101900000000001</v>
      </c>
    </row>
    <row r="707" spans="1:11" ht="15">
      <c r="A707" s="13">
        <v>62640</v>
      </c>
      <c r="B707" s="66">
        <f>11.4283 * CHOOSE(CONTROL!$C$23, $C$13, 100%, $E$13)</f>
        <v>11.4283</v>
      </c>
      <c r="C707" s="66">
        <f>11.4283 * CHOOSE(CONTROL!$C$23, $C$13, 100%, $E$13)</f>
        <v>11.4283</v>
      </c>
      <c r="D707" s="66">
        <f>11.4338 * CHOOSE(CONTROL!$C$23, $C$13, 100%, $E$13)</f>
        <v>11.4338</v>
      </c>
      <c r="E707" s="67">
        <f>13.3056 * CHOOSE(CONTROL!$C$23, $C$13, 100%, $E$13)</f>
        <v>13.3056</v>
      </c>
      <c r="F707" s="67">
        <f>13.3056 * CHOOSE(CONTROL!$C$23, $C$13, 100%, $E$13)</f>
        <v>13.3056</v>
      </c>
      <c r="G707" s="67">
        <f>13.3123 * CHOOSE(CONTROL!$C$23, $C$13, 100%, $E$13)</f>
        <v>13.3123</v>
      </c>
      <c r="H707" s="67">
        <f>24.2076* CHOOSE(CONTROL!$C$23, $C$13, 100%, $E$13)</f>
        <v>24.207599999999999</v>
      </c>
      <c r="I707" s="67">
        <f>24.2143 * CHOOSE(CONTROL!$C$23, $C$13, 100%, $E$13)</f>
        <v>24.214300000000001</v>
      </c>
      <c r="J707" s="67">
        <f>13.3056 * CHOOSE(CONTROL!$C$23, $C$13, 100%, $E$13)</f>
        <v>13.3056</v>
      </c>
      <c r="K707" s="67">
        <f>13.3123 * CHOOSE(CONTROL!$C$23, $C$13, 100%, $E$13)</f>
        <v>13.3123</v>
      </c>
    </row>
    <row r="708" spans="1:11" ht="15">
      <c r="A708" s="13">
        <v>62671</v>
      </c>
      <c r="B708" s="66">
        <f>11.435 * CHOOSE(CONTROL!$C$23, $C$13, 100%, $E$13)</f>
        <v>11.435</v>
      </c>
      <c r="C708" s="66">
        <f>11.435 * CHOOSE(CONTROL!$C$23, $C$13, 100%, $E$13)</f>
        <v>11.435</v>
      </c>
      <c r="D708" s="66">
        <f>11.4405 * CHOOSE(CONTROL!$C$23, $C$13, 100%, $E$13)</f>
        <v>11.4405</v>
      </c>
      <c r="E708" s="67">
        <f>13.0956 * CHOOSE(CONTROL!$C$23, $C$13, 100%, $E$13)</f>
        <v>13.095599999999999</v>
      </c>
      <c r="F708" s="67">
        <f>13.0956 * CHOOSE(CONTROL!$C$23, $C$13, 100%, $E$13)</f>
        <v>13.095599999999999</v>
      </c>
      <c r="G708" s="67">
        <f>13.1024 * CHOOSE(CONTROL!$C$23, $C$13, 100%, $E$13)</f>
        <v>13.102399999999999</v>
      </c>
      <c r="H708" s="67">
        <f>24.258* CHOOSE(CONTROL!$C$23, $C$13, 100%, $E$13)</f>
        <v>24.257999999999999</v>
      </c>
      <c r="I708" s="67">
        <f>24.2647 * CHOOSE(CONTROL!$C$23, $C$13, 100%, $E$13)</f>
        <v>24.264700000000001</v>
      </c>
      <c r="J708" s="67">
        <f>13.0956 * CHOOSE(CONTROL!$C$23, $C$13, 100%, $E$13)</f>
        <v>13.095599999999999</v>
      </c>
      <c r="K708" s="67">
        <f>13.1024 * CHOOSE(CONTROL!$C$23, $C$13, 100%, $E$13)</f>
        <v>13.102399999999999</v>
      </c>
    </row>
    <row r="709" spans="1:11" ht="15">
      <c r="A709" s="13">
        <v>62702</v>
      </c>
      <c r="B709" s="66">
        <f>11.4319 * CHOOSE(CONTROL!$C$23, $C$13, 100%, $E$13)</f>
        <v>11.431900000000001</v>
      </c>
      <c r="C709" s="66">
        <f>11.4319 * CHOOSE(CONTROL!$C$23, $C$13, 100%, $E$13)</f>
        <v>11.431900000000001</v>
      </c>
      <c r="D709" s="66">
        <f>11.4374 * CHOOSE(CONTROL!$C$23, $C$13, 100%, $E$13)</f>
        <v>11.4374</v>
      </c>
      <c r="E709" s="67">
        <f>13.0697 * CHOOSE(CONTROL!$C$23, $C$13, 100%, $E$13)</f>
        <v>13.069699999999999</v>
      </c>
      <c r="F709" s="67">
        <f>13.0697 * CHOOSE(CONTROL!$C$23, $C$13, 100%, $E$13)</f>
        <v>13.069699999999999</v>
      </c>
      <c r="G709" s="67">
        <f>13.0764 * CHOOSE(CONTROL!$C$23, $C$13, 100%, $E$13)</f>
        <v>13.0764</v>
      </c>
      <c r="H709" s="67">
        <f>24.3085* CHOOSE(CONTROL!$C$23, $C$13, 100%, $E$13)</f>
        <v>24.308499999999999</v>
      </c>
      <c r="I709" s="67">
        <f>24.3153 * CHOOSE(CONTROL!$C$23, $C$13, 100%, $E$13)</f>
        <v>24.315300000000001</v>
      </c>
      <c r="J709" s="67">
        <f>13.0697 * CHOOSE(CONTROL!$C$23, $C$13, 100%, $E$13)</f>
        <v>13.069699999999999</v>
      </c>
      <c r="K709" s="67">
        <f>13.0764 * CHOOSE(CONTROL!$C$23, $C$13, 100%, $E$13)</f>
        <v>13.0764</v>
      </c>
    </row>
    <row r="710" spans="1:11" ht="15">
      <c r="A710" s="13">
        <v>62732</v>
      </c>
      <c r="B710" s="66">
        <f>11.451 * CHOOSE(CONTROL!$C$23, $C$13, 100%, $E$13)</f>
        <v>11.451000000000001</v>
      </c>
      <c r="C710" s="66">
        <f>11.451 * CHOOSE(CONTROL!$C$23, $C$13, 100%, $E$13)</f>
        <v>11.451000000000001</v>
      </c>
      <c r="D710" s="66">
        <f>11.4549 * CHOOSE(CONTROL!$C$23, $C$13, 100%, $E$13)</f>
        <v>11.4549</v>
      </c>
      <c r="E710" s="67">
        <f>13.1516 * CHOOSE(CONTROL!$C$23, $C$13, 100%, $E$13)</f>
        <v>13.1516</v>
      </c>
      <c r="F710" s="67">
        <f>13.1516 * CHOOSE(CONTROL!$C$23, $C$13, 100%, $E$13)</f>
        <v>13.1516</v>
      </c>
      <c r="G710" s="67">
        <f>13.1564 * CHOOSE(CONTROL!$C$23, $C$13, 100%, $E$13)</f>
        <v>13.1564</v>
      </c>
      <c r="H710" s="67">
        <f>24.3592* CHOOSE(CONTROL!$C$23, $C$13, 100%, $E$13)</f>
        <v>24.359200000000001</v>
      </c>
      <c r="I710" s="67">
        <f>24.364 * CHOOSE(CONTROL!$C$23, $C$13, 100%, $E$13)</f>
        <v>24.364000000000001</v>
      </c>
      <c r="J710" s="67">
        <f>13.1516 * CHOOSE(CONTROL!$C$23, $C$13, 100%, $E$13)</f>
        <v>13.1516</v>
      </c>
      <c r="K710" s="67">
        <f>13.1564 * CHOOSE(CONTROL!$C$23, $C$13, 100%, $E$13)</f>
        <v>13.1564</v>
      </c>
    </row>
    <row r="711" spans="1:11" ht="15">
      <c r="A711" s="13">
        <v>62763</v>
      </c>
      <c r="B711" s="66">
        <f>11.4541 * CHOOSE(CONTROL!$C$23, $C$13, 100%, $E$13)</f>
        <v>11.4541</v>
      </c>
      <c r="C711" s="66">
        <f>11.4541 * CHOOSE(CONTROL!$C$23, $C$13, 100%, $E$13)</f>
        <v>11.4541</v>
      </c>
      <c r="D711" s="66">
        <f>11.4579 * CHOOSE(CONTROL!$C$23, $C$13, 100%, $E$13)</f>
        <v>11.4579</v>
      </c>
      <c r="E711" s="67">
        <f>13.2015 * CHOOSE(CONTROL!$C$23, $C$13, 100%, $E$13)</f>
        <v>13.201499999999999</v>
      </c>
      <c r="F711" s="67">
        <f>13.2015 * CHOOSE(CONTROL!$C$23, $C$13, 100%, $E$13)</f>
        <v>13.201499999999999</v>
      </c>
      <c r="G711" s="67">
        <f>13.2062 * CHOOSE(CONTROL!$C$23, $C$13, 100%, $E$13)</f>
        <v>13.206200000000001</v>
      </c>
      <c r="H711" s="67">
        <f>24.4099* CHOOSE(CONTROL!$C$23, $C$13, 100%, $E$13)</f>
        <v>24.4099</v>
      </c>
      <c r="I711" s="67">
        <f>24.4147 * CHOOSE(CONTROL!$C$23, $C$13, 100%, $E$13)</f>
        <v>24.4147</v>
      </c>
      <c r="J711" s="67">
        <f>13.2015 * CHOOSE(CONTROL!$C$23, $C$13, 100%, $E$13)</f>
        <v>13.201499999999999</v>
      </c>
      <c r="K711" s="67">
        <f>13.2062 * CHOOSE(CONTROL!$C$23, $C$13, 100%, $E$13)</f>
        <v>13.206200000000001</v>
      </c>
    </row>
    <row r="712" spans="1:11" ht="15">
      <c r="A712" s="13">
        <v>62793</v>
      </c>
      <c r="B712" s="66">
        <f>11.4541 * CHOOSE(CONTROL!$C$23, $C$13, 100%, $E$13)</f>
        <v>11.4541</v>
      </c>
      <c r="C712" s="66">
        <f>11.4541 * CHOOSE(CONTROL!$C$23, $C$13, 100%, $E$13)</f>
        <v>11.4541</v>
      </c>
      <c r="D712" s="66">
        <f>11.4579 * CHOOSE(CONTROL!$C$23, $C$13, 100%, $E$13)</f>
        <v>11.4579</v>
      </c>
      <c r="E712" s="67">
        <f>13.0822 * CHOOSE(CONTROL!$C$23, $C$13, 100%, $E$13)</f>
        <v>13.0822</v>
      </c>
      <c r="F712" s="67">
        <f>13.0822 * CHOOSE(CONTROL!$C$23, $C$13, 100%, $E$13)</f>
        <v>13.0822</v>
      </c>
      <c r="G712" s="67">
        <f>13.087 * CHOOSE(CONTROL!$C$23, $C$13, 100%, $E$13)</f>
        <v>13.087</v>
      </c>
      <c r="H712" s="67">
        <f>24.4608* CHOOSE(CONTROL!$C$23, $C$13, 100%, $E$13)</f>
        <v>24.460799999999999</v>
      </c>
      <c r="I712" s="67">
        <f>24.4656 * CHOOSE(CONTROL!$C$23, $C$13, 100%, $E$13)</f>
        <v>24.465599999999998</v>
      </c>
      <c r="J712" s="67">
        <f>13.0822 * CHOOSE(CONTROL!$C$23, $C$13, 100%, $E$13)</f>
        <v>13.0822</v>
      </c>
      <c r="K712" s="67">
        <f>13.087 * CHOOSE(CONTROL!$C$23, $C$13, 100%, $E$13)</f>
        <v>13.087</v>
      </c>
    </row>
    <row r="713" spans="1:11" ht="15">
      <c r="A713" s="13">
        <v>62824</v>
      </c>
      <c r="B713" s="66">
        <f>11.4875 * CHOOSE(CONTROL!$C$23, $C$13, 100%, $E$13)</f>
        <v>11.487500000000001</v>
      </c>
      <c r="C713" s="66">
        <f>11.4875 * CHOOSE(CONTROL!$C$23, $C$13, 100%, $E$13)</f>
        <v>11.487500000000001</v>
      </c>
      <c r="D713" s="66">
        <f>11.4913 * CHOOSE(CONTROL!$C$23, $C$13, 100%, $E$13)</f>
        <v>11.491300000000001</v>
      </c>
      <c r="E713" s="67">
        <f>13.211 * CHOOSE(CONTROL!$C$23, $C$13, 100%, $E$13)</f>
        <v>13.211</v>
      </c>
      <c r="F713" s="67">
        <f>13.211 * CHOOSE(CONTROL!$C$23, $C$13, 100%, $E$13)</f>
        <v>13.211</v>
      </c>
      <c r="G713" s="67">
        <f>13.2158 * CHOOSE(CONTROL!$C$23, $C$13, 100%, $E$13)</f>
        <v>13.2158</v>
      </c>
      <c r="H713" s="67">
        <f>24.3897* CHOOSE(CONTROL!$C$23, $C$13, 100%, $E$13)</f>
        <v>24.389700000000001</v>
      </c>
      <c r="I713" s="67">
        <f>24.3945 * CHOOSE(CONTROL!$C$23, $C$13, 100%, $E$13)</f>
        <v>24.394500000000001</v>
      </c>
      <c r="J713" s="67">
        <f>13.211 * CHOOSE(CONTROL!$C$23, $C$13, 100%, $E$13)</f>
        <v>13.211</v>
      </c>
      <c r="K713" s="67">
        <f>13.2158 * CHOOSE(CONTROL!$C$23, $C$13, 100%, $E$13)</f>
        <v>13.2158</v>
      </c>
    </row>
    <row r="714" spans="1:11" ht="15">
      <c r="A714" s="13">
        <v>62855</v>
      </c>
      <c r="B714" s="66">
        <f>11.4844 * CHOOSE(CONTROL!$C$23, $C$13, 100%, $E$13)</f>
        <v>11.484400000000001</v>
      </c>
      <c r="C714" s="66">
        <f>11.4844 * CHOOSE(CONTROL!$C$23, $C$13, 100%, $E$13)</f>
        <v>11.484400000000001</v>
      </c>
      <c r="D714" s="66">
        <f>11.4883 * CHOOSE(CONTROL!$C$23, $C$13, 100%, $E$13)</f>
        <v>11.488300000000001</v>
      </c>
      <c r="E714" s="67">
        <f>12.9786 * CHOOSE(CONTROL!$C$23, $C$13, 100%, $E$13)</f>
        <v>12.9786</v>
      </c>
      <c r="F714" s="67">
        <f>12.9786 * CHOOSE(CONTROL!$C$23, $C$13, 100%, $E$13)</f>
        <v>12.9786</v>
      </c>
      <c r="G714" s="67">
        <f>12.9834 * CHOOSE(CONTROL!$C$23, $C$13, 100%, $E$13)</f>
        <v>12.9834</v>
      </c>
      <c r="H714" s="67">
        <f>24.4405* CHOOSE(CONTROL!$C$23, $C$13, 100%, $E$13)</f>
        <v>24.4405</v>
      </c>
      <c r="I714" s="67">
        <f>24.4453 * CHOOSE(CONTROL!$C$23, $C$13, 100%, $E$13)</f>
        <v>24.4453</v>
      </c>
      <c r="J714" s="67">
        <f>12.9786 * CHOOSE(CONTROL!$C$23, $C$13, 100%, $E$13)</f>
        <v>12.9786</v>
      </c>
      <c r="K714" s="67">
        <f>12.9834 * CHOOSE(CONTROL!$C$23, $C$13, 100%, $E$13)</f>
        <v>12.9834</v>
      </c>
    </row>
    <row r="715" spans="1:11" ht="15">
      <c r="A715" s="13">
        <v>62884</v>
      </c>
      <c r="B715" s="66">
        <f>11.4814 * CHOOSE(CONTROL!$C$23, $C$13, 100%, $E$13)</f>
        <v>11.481400000000001</v>
      </c>
      <c r="C715" s="66">
        <f>11.4814 * CHOOSE(CONTROL!$C$23, $C$13, 100%, $E$13)</f>
        <v>11.481400000000001</v>
      </c>
      <c r="D715" s="66">
        <f>11.4852 * CHOOSE(CONTROL!$C$23, $C$13, 100%, $E$13)</f>
        <v>11.485200000000001</v>
      </c>
      <c r="E715" s="67">
        <f>13.158 * CHOOSE(CONTROL!$C$23, $C$13, 100%, $E$13)</f>
        <v>13.157999999999999</v>
      </c>
      <c r="F715" s="67">
        <f>13.158 * CHOOSE(CONTROL!$C$23, $C$13, 100%, $E$13)</f>
        <v>13.157999999999999</v>
      </c>
      <c r="G715" s="67">
        <f>13.1628 * CHOOSE(CONTROL!$C$23, $C$13, 100%, $E$13)</f>
        <v>13.162800000000001</v>
      </c>
      <c r="H715" s="67">
        <f>24.4915* CHOOSE(CONTROL!$C$23, $C$13, 100%, $E$13)</f>
        <v>24.491499999999998</v>
      </c>
      <c r="I715" s="67">
        <f>24.4962 * CHOOSE(CONTROL!$C$23, $C$13, 100%, $E$13)</f>
        <v>24.496200000000002</v>
      </c>
      <c r="J715" s="67">
        <f>13.158 * CHOOSE(CONTROL!$C$23, $C$13, 100%, $E$13)</f>
        <v>13.157999999999999</v>
      </c>
      <c r="K715" s="67">
        <f>13.1628 * CHOOSE(CONTROL!$C$23, $C$13, 100%, $E$13)</f>
        <v>13.162800000000001</v>
      </c>
    </row>
    <row r="716" spans="1:11" ht="15">
      <c r="A716" s="13">
        <v>62915</v>
      </c>
      <c r="B716" s="66">
        <f>11.4853 * CHOOSE(CONTROL!$C$23, $C$13, 100%, $E$13)</f>
        <v>11.485300000000001</v>
      </c>
      <c r="C716" s="66">
        <f>11.4853 * CHOOSE(CONTROL!$C$23, $C$13, 100%, $E$13)</f>
        <v>11.485300000000001</v>
      </c>
      <c r="D716" s="66">
        <f>11.4892 * CHOOSE(CONTROL!$C$23, $C$13, 100%, $E$13)</f>
        <v>11.4892</v>
      </c>
      <c r="E716" s="67">
        <f>13.3487 * CHOOSE(CONTROL!$C$23, $C$13, 100%, $E$13)</f>
        <v>13.348699999999999</v>
      </c>
      <c r="F716" s="67">
        <f>13.3487 * CHOOSE(CONTROL!$C$23, $C$13, 100%, $E$13)</f>
        <v>13.348699999999999</v>
      </c>
      <c r="G716" s="67">
        <f>13.3535 * CHOOSE(CONTROL!$C$23, $C$13, 100%, $E$13)</f>
        <v>13.3535</v>
      </c>
      <c r="H716" s="67">
        <f>24.5425* CHOOSE(CONTROL!$C$23, $C$13, 100%, $E$13)</f>
        <v>24.5425</v>
      </c>
      <c r="I716" s="67">
        <f>24.5472 * CHOOSE(CONTROL!$C$23, $C$13, 100%, $E$13)</f>
        <v>24.5472</v>
      </c>
      <c r="J716" s="67">
        <f>13.3487 * CHOOSE(CONTROL!$C$23, $C$13, 100%, $E$13)</f>
        <v>13.348699999999999</v>
      </c>
      <c r="K716" s="67">
        <f>13.3535 * CHOOSE(CONTROL!$C$23, $C$13, 100%, $E$13)</f>
        <v>13.3535</v>
      </c>
    </row>
    <row r="717" spans="1:11" ht="15">
      <c r="A717" s="13">
        <v>62945</v>
      </c>
      <c r="B717" s="66">
        <f>11.4853 * CHOOSE(CONTROL!$C$23, $C$13, 100%, $E$13)</f>
        <v>11.485300000000001</v>
      </c>
      <c r="C717" s="66">
        <f>11.4853 * CHOOSE(CONTROL!$C$23, $C$13, 100%, $E$13)</f>
        <v>11.485300000000001</v>
      </c>
      <c r="D717" s="66">
        <f>11.4908 * CHOOSE(CONTROL!$C$23, $C$13, 100%, $E$13)</f>
        <v>11.4908</v>
      </c>
      <c r="E717" s="67">
        <f>13.4219 * CHOOSE(CONTROL!$C$23, $C$13, 100%, $E$13)</f>
        <v>13.421900000000001</v>
      </c>
      <c r="F717" s="67">
        <f>13.4219 * CHOOSE(CONTROL!$C$23, $C$13, 100%, $E$13)</f>
        <v>13.421900000000001</v>
      </c>
      <c r="G717" s="67">
        <f>13.4286 * CHOOSE(CONTROL!$C$23, $C$13, 100%, $E$13)</f>
        <v>13.428599999999999</v>
      </c>
      <c r="H717" s="67">
        <f>24.5936* CHOOSE(CONTROL!$C$23, $C$13, 100%, $E$13)</f>
        <v>24.593599999999999</v>
      </c>
      <c r="I717" s="67">
        <f>24.6003 * CHOOSE(CONTROL!$C$23, $C$13, 100%, $E$13)</f>
        <v>24.600300000000001</v>
      </c>
      <c r="J717" s="67">
        <f>13.4219 * CHOOSE(CONTROL!$C$23, $C$13, 100%, $E$13)</f>
        <v>13.421900000000001</v>
      </c>
      <c r="K717" s="67">
        <f>13.4286 * CHOOSE(CONTROL!$C$23, $C$13, 100%, $E$13)</f>
        <v>13.428599999999999</v>
      </c>
    </row>
    <row r="718" spans="1:11" ht="15">
      <c r="A718" s="13">
        <v>62976</v>
      </c>
      <c r="B718" s="66">
        <f>11.4914 * CHOOSE(CONTROL!$C$23, $C$13, 100%, $E$13)</f>
        <v>11.491400000000001</v>
      </c>
      <c r="C718" s="66">
        <f>11.4914 * CHOOSE(CONTROL!$C$23, $C$13, 100%, $E$13)</f>
        <v>11.491400000000001</v>
      </c>
      <c r="D718" s="66">
        <f>11.4969 * CHOOSE(CONTROL!$C$23, $C$13, 100%, $E$13)</f>
        <v>11.4969</v>
      </c>
      <c r="E718" s="67">
        <f>13.353 * CHOOSE(CONTROL!$C$23, $C$13, 100%, $E$13)</f>
        <v>13.353</v>
      </c>
      <c r="F718" s="67">
        <f>13.353 * CHOOSE(CONTROL!$C$23, $C$13, 100%, $E$13)</f>
        <v>13.353</v>
      </c>
      <c r="G718" s="67">
        <f>13.3597 * CHOOSE(CONTROL!$C$23, $C$13, 100%, $E$13)</f>
        <v>13.3597</v>
      </c>
      <c r="H718" s="67">
        <f>24.6448* CHOOSE(CONTROL!$C$23, $C$13, 100%, $E$13)</f>
        <v>24.6448</v>
      </c>
      <c r="I718" s="67">
        <f>24.6516 * CHOOSE(CONTROL!$C$23, $C$13, 100%, $E$13)</f>
        <v>24.651599999999998</v>
      </c>
      <c r="J718" s="67">
        <f>13.353 * CHOOSE(CONTROL!$C$23, $C$13, 100%, $E$13)</f>
        <v>13.353</v>
      </c>
      <c r="K718" s="67">
        <f>13.3597 * CHOOSE(CONTROL!$C$23, $C$13, 100%, $E$13)</f>
        <v>13.3597</v>
      </c>
    </row>
    <row r="719" spans="1:11" ht="15">
      <c r="A719" s="13">
        <v>63006</v>
      </c>
      <c r="B719" s="66">
        <f>11.6674 * CHOOSE(CONTROL!$C$23, $C$13, 100%, $E$13)</f>
        <v>11.667400000000001</v>
      </c>
      <c r="C719" s="66">
        <f>11.6674 * CHOOSE(CONTROL!$C$23, $C$13, 100%, $E$13)</f>
        <v>11.667400000000001</v>
      </c>
      <c r="D719" s="66">
        <f>11.673 * CHOOSE(CONTROL!$C$23, $C$13, 100%, $E$13)</f>
        <v>11.673</v>
      </c>
      <c r="E719" s="67">
        <f>13.5674 * CHOOSE(CONTROL!$C$23, $C$13, 100%, $E$13)</f>
        <v>13.567399999999999</v>
      </c>
      <c r="F719" s="67">
        <f>13.5674 * CHOOSE(CONTROL!$C$23, $C$13, 100%, $E$13)</f>
        <v>13.567399999999999</v>
      </c>
      <c r="G719" s="67">
        <f>13.5741 * CHOOSE(CONTROL!$C$23, $C$13, 100%, $E$13)</f>
        <v>13.5741</v>
      </c>
      <c r="H719" s="67">
        <f>24.6962* CHOOSE(CONTROL!$C$23, $C$13, 100%, $E$13)</f>
        <v>24.696200000000001</v>
      </c>
      <c r="I719" s="67">
        <f>24.7029 * CHOOSE(CONTROL!$C$23, $C$13, 100%, $E$13)</f>
        <v>24.7029</v>
      </c>
      <c r="J719" s="67">
        <f>13.5674 * CHOOSE(CONTROL!$C$23, $C$13, 100%, $E$13)</f>
        <v>13.567399999999999</v>
      </c>
      <c r="K719" s="67">
        <f>13.5741 * CHOOSE(CONTROL!$C$23, $C$13, 100%, $E$13)</f>
        <v>13.5741</v>
      </c>
    </row>
    <row r="720" spans="1:11" ht="15">
      <c r="A720" s="13">
        <v>63037</v>
      </c>
      <c r="B720" s="66">
        <f>11.6741 * CHOOSE(CONTROL!$C$23, $C$13, 100%, $E$13)</f>
        <v>11.674099999999999</v>
      </c>
      <c r="C720" s="66">
        <f>11.6741 * CHOOSE(CONTROL!$C$23, $C$13, 100%, $E$13)</f>
        <v>11.674099999999999</v>
      </c>
      <c r="D720" s="66">
        <f>11.6796 * CHOOSE(CONTROL!$C$23, $C$13, 100%, $E$13)</f>
        <v>11.679600000000001</v>
      </c>
      <c r="E720" s="67">
        <f>13.3527 * CHOOSE(CONTROL!$C$23, $C$13, 100%, $E$13)</f>
        <v>13.3527</v>
      </c>
      <c r="F720" s="67">
        <f>13.3527 * CHOOSE(CONTROL!$C$23, $C$13, 100%, $E$13)</f>
        <v>13.3527</v>
      </c>
      <c r="G720" s="67">
        <f>13.3594 * CHOOSE(CONTROL!$C$23, $C$13, 100%, $E$13)</f>
        <v>13.359400000000001</v>
      </c>
      <c r="H720" s="67">
        <f>24.7476* CHOOSE(CONTROL!$C$23, $C$13, 100%, $E$13)</f>
        <v>24.747599999999998</v>
      </c>
      <c r="I720" s="67">
        <f>24.7544 * CHOOSE(CONTROL!$C$23, $C$13, 100%, $E$13)</f>
        <v>24.7544</v>
      </c>
      <c r="J720" s="67">
        <f>13.3527 * CHOOSE(CONTROL!$C$23, $C$13, 100%, $E$13)</f>
        <v>13.3527</v>
      </c>
      <c r="K720" s="67">
        <f>13.3594 * CHOOSE(CONTROL!$C$23, $C$13, 100%, $E$13)</f>
        <v>13.359400000000001</v>
      </c>
    </row>
    <row r="721" spans="1:11" ht="15">
      <c r="A721" s="13">
        <v>63068</v>
      </c>
      <c r="B721" s="66">
        <f>11.6711 * CHOOSE(CONTROL!$C$23, $C$13, 100%, $E$13)</f>
        <v>11.671099999999999</v>
      </c>
      <c r="C721" s="66">
        <f>11.6711 * CHOOSE(CONTROL!$C$23, $C$13, 100%, $E$13)</f>
        <v>11.671099999999999</v>
      </c>
      <c r="D721" s="66">
        <f>11.6766 * CHOOSE(CONTROL!$C$23, $C$13, 100%, $E$13)</f>
        <v>11.676600000000001</v>
      </c>
      <c r="E721" s="67">
        <f>13.3262 * CHOOSE(CONTROL!$C$23, $C$13, 100%, $E$13)</f>
        <v>13.3262</v>
      </c>
      <c r="F721" s="67">
        <f>13.3262 * CHOOSE(CONTROL!$C$23, $C$13, 100%, $E$13)</f>
        <v>13.3262</v>
      </c>
      <c r="G721" s="67">
        <f>13.333 * CHOOSE(CONTROL!$C$23, $C$13, 100%, $E$13)</f>
        <v>13.333</v>
      </c>
      <c r="H721" s="67">
        <f>24.7992* CHOOSE(CONTROL!$C$23, $C$13, 100%, $E$13)</f>
        <v>24.799199999999999</v>
      </c>
      <c r="I721" s="67">
        <f>24.8059 * CHOOSE(CONTROL!$C$23, $C$13, 100%, $E$13)</f>
        <v>24.805900000000001</v>
      </c>
      <c r="J721" s="67">
        <f>13.3262 * CHOOSE(CONTROL!$C$23, $C$13, 100%, $E$13)</f>
        <v>13.3262</v>
      </c>
      <c r="K721" s="67">
        <f>13.333 * CHOOSE(CONTROL!$C$23, $C$13, 100%, $E$13)</f>
        <v>13.333</v>
      </c>
    </row>
    <row r="722" spans="1:11" ht="15">
      <c r="A722" s="13">
        <v>63098</v>
      </c>
      <c r="B722" s="66">
        <f>11.691 * CHOOSE(CONTROL!$C$23, $C$13, 100%, $E$13)</f>
        <v>11.691000000000001</v>
      </c>
      <c r="C722" s="66">
        <f>11.691 * CHOOSE(CONTROL!$C$23, $C$13, 100%, $E$13)</f>
        <v>11.691000000000001</v>
      </c>
      <c r="D722" s="66">
        <f>11.6948 * CHOOSE(CONTROL!$C$23, $C$13, 100%, $E$13)</f>
        <v>11.694800000000001</v>
      </c>
      <c r="E722" s="67">
        <f>13.4103 * CHOOSE(CONTROL!$C$23, $C$13, 100%, $E$13)</f>
        <v>13.410299999999999</v>
      </c>
      <c r="F722" s="67">
        <f>13.4103 * CHOOSE(CONTROL!$C$23, $C$13, 100%, $E$13)</f>
        <v>13.410299999999999</v>
      </c>
      <c r="G722" s="67">
        <f>13.4151 * CHOOSE(CONTROL!$C$23, $C$13, 100%, $E$13)</f>
        <v>13.415100000000001</v>
      </c>
      <c r="H722" s="67">
        <f>24.8509* CHOOSE(CONTROL!$C$23, $C$13, 100%, $E$13)</f>
        <v>24.850899999999999</v>
      </c>
      <c r="I722" s="67">
        <f>24.8556 * CHOOSE(CONTROL!$C$23, $C$13, 100%, $E$13)</f>
        <v>24.855599999999999</v>
      </c>
      <c r="J722" s="67">
        <f>13.4103 * CHOOSE(CONTROL!$C$23, $C$13, 100%, $E$13)</f>
        <v>13.410299999999999</v>
      </c>
      <c r="K722" s="67">
        <f>13.4151 * CHOOSE(CONTROL!$C$23, $C$13, 100%, $E$13)</f>
        <v>13.415100000000001</v>
      </c>
    </row>
    <row r="723" spans="1:11" ht="15">
      <c r="A723" s="13">
        <v>63129</v>
      </c>
      <c r="B723" s="66">
        <f>11.694 * CHOOSE(CONTROL!$C$23, $C$13, 100%, $E$13)</f>
        <v>11.694000000000001</v>
      </c>
      <c r="C723" s="66">
        <f>11.694 * CHOOSE(CONTROL!$C$23, $C$13, 100%, $E$13)</f>
        <v>11.694000000000001</v>
      </c>
      <c r="D723" s="66">
        <f>11.6979 * CHOOSE(CONTROL!$C$23, $C$13, 100%, $E$13)</f>
        <v>11.697900000000001</v>
      </c>
      <c r="E723" s="67">
        <f>13.4611 * CHOOSE(CONTROL!$C$23, $C$13, 100%, $E$13)</f>
        <v>13.4611</v>
      </c>
      <c r="F723" s="67">
        <f>13.4611 * CHOOSE(CONTROL!$C$23, $C$13, 100%, $E$13)</f>
        <v>13.4611</v>
      </c>
      <c r="G723" s="67">
        <f>13.4659 * CHOOSE(CONTROL!$C$23, $C$13, 100%, $E$13)</f>
        <v>13.4659</v>
      </c>
      <c r="H723" s="67">
        <f>24.9026* CHOOSE(CONTROL!$C$23, $C$13, 100%, $E$13)</f>
        <v>24.9026</v>
      </c>
      <c r="I723" s="67">
        <f>24.9074 * CHOOSE(CONTROL!$C$23, $C$13, 100%, $E$13)</f>
        <v>24.907399999999999</v>
      </c>
      <c r="J723" s="67">
        <f>13.4611 * CHOOSE(CONTROL!$C$23, $C$13, 100%, $E$13)</f>
        <v>13.4611</v>
      </c>
      <c r="K723" s="67">
        <f>13.4659 * CHOOSE(CONTROL!$C$23, $C$13, 100%, $E$13)</f>
        <v>13.4659</v>
      </c>
    </row>
    <row r="724" spans="1:11" ht="15">
      <c r="A724" s="13">
        <v>63159</v>
      </c>
      <c r="B724" s="66">
        <f>11.694 * CHOOSE(CONTROL!$C$23, $C$13, 100%, $E$13)</f>
        <v>11.694000000000001</v>
      </c>
      <c r="C724" s="66">
        <f>11.694 * CHOOSE(CONTROL!$C$23, $C$13, 100%, $E$13)</f>
        <v>11.694000000000001</v>
      </c>
      <c r="D724" s="66">
        <f>11.6979 * CHOOSE(CONTROL!$C$23, $C$13, 100%, $E$13)</f>
        <v>11.697900000000001</v>
      </c>
      <c r="E724" s="67">
        <f>13.3393 * CHOOSE(CONTROL!$C$23, $C$13, 100%, $E$13)</f>
        <v>13.3393</v>
      </c>
      <c r="F724" s="67">
        <f>13.3393 * CHOOSE(CONTROL!$C$23, $C$13, 100%, $E$13)</f>
        <v>13.3393</v>
      </c>
      <c r="G724" s="67">
        <f>13.3441 * CHOOSE(CONTROL!$C$23, $C$13, 100%, $E$13)</f>
        <v>13.344099999999999</v>
      </c>
      <c r="H724" s="67">
        <f>24.9545* CHOOSE(CONTROL!$C$23, $C$13, 100%, $E$13)</f>
        <v>24.954499999999999</v>
      </c>
      <c r="I724" s="67">
        <f>24.9593 * CHOOSE(CONTROL!$C$23, $C$13, 100%, $E$13)</f>
        <v>24.959299999999999</v>
      </c>
      <c r="J724" s="67">
        <f>13.3393 * CHOOSE(CONTROL!$C$23, $C$13, 100%, $E$13)</f>
        <v>13.3393</v>
      </c>
      <c r="K724" s="67">
        <f>13.3441 * CHOOSE(CONTROL!$C$23, $C$13, 100%, $E$13)</f>
        <v>13.344099999999999</v>
      </c>
    </row>
    <row r="725" spans="1:11" ht="15">
      <c r="A725" s="13">
        <v>63190</v>
      </c>
      <c r="B725" s="66">
        <f>11.723 * CHOOSE(CONTROL!$C$23, $C$13, 100%, $E$13)</f>
        <v>11.723000000000001</v>
      </c>
      <c r="C725" s="66">
        <f>11.723 * CHOOSE(CONTROL!$C$23, $C$13, 100%, $E$13)</f>
        <v>11.723000000000001</v>
      </c>
      <c r="D725" s="66">
        <f>11.7269 * CHOOSE(CONTROL!$C$23, $C$13, 100%, $E$13)</f>
        <v>11.726900000000001</v>
      </c>
      <c r="E725" s="67">
        <f>13.4657 * CHOOSE(CONTROL!$C$23, $C$13, 100%, $E$13)</f>
        <v>13.4657</v>
      </c>
      <c r="F725" s="67">
        <f>13.4657 * CHOOSE(CONTROL!$C$23, $C$13, 100%, $E$13)</f>
        <v>13.4657</v>
      </c>
      <c r="G725" s="67">
        <f>13.4705 * CHOOSE(CONTROL!$C$23, $C$13, 100%, $E$13)</f>
        <v>13.470499999999999</v>
      </c>
      <c r="H725" s="67">
        <f>24.8723* CHOOSE(CONTROL!$C$23, $C$13, 100%, $E$13)</f>
        <v>24.872299999999999</v>
      </c>
      <c r="I725" s="67">
        <f>24.877 * CHOOSE(CONTROL!$C$23, $C$13, 100%, $E$13)</f>
        <v>24.876999999999999</v>
      </c>
      <c r="J725" s="67">
        <f>13.4657 * CHOOSE(CONTROL!$C$23, $C$13, 100%, $E$13)</f>
        <v>13.4657</v>
      </c>
      <c r="K725" s="67">
        <f>13.4705 * CHOOSE(CONTROL!$C$23, $C$13, 100%, $E$13)</f>
        <v>13.470499999999999</v>
      </c>
    </row>
    <row r="726" spans="1:11" ht="15">
      <c r="A726" s="13">
        <v>63221</v>
      </c>
      <c r="B726" s="66">
        <f>11.72 * CHOOSE(CONTROL!$C$23, $C$13, 100%, $E$13)</f>
        <v>11.72</v>
      </c>
      <c r="C726" s="66">
        <f>11.72 * CHOOSE(CONTROL!$C$23, $C$13, 100%, $E$13)</f>
        <v>11.72</v>
      </c>
      <c r="D726" s="66">
        <f>11.7239 * CHOOSE(CONTROL!$C$23, $C$13, 100%, $E$13)</f>
        <v>11.7239</v>
      </c>
      <c r="E726" s="67">
        <f>13.2284 * CHOOSE(CONTROL!$C$23, $C$13, 100%, $E$13)</f>
        <v>13.228400000000001</v>
      </c>
      <c r="F726" s="67">
        <f>13.2284 * CHOOSE(CONTROL!$C$23, $C$13, 100%, $E$13)</f>
        <v>13.228400000000001</v>
      </c>
      <c r="G726" s="67">
        <f>13.2331 * CHOOSE(CONTROL!$C$23, $C$13, 100%, $E$13)</f>
        <v>13.2331</v>
      </c>
      <c r="H726" s="67">
        <f>24.9241* CHOOSE(CONTROL!$C$23, $C$13, 100%, $E$13)</f>
        <v>24.924099999999999</v>
      </c>
      <c r="I726" s="67">
        <f>24.9289 * CHOOSE(CONTROL!$C$23, $C$13, 100%, $E$13)</f>
        <v>24.928899999999999</v>
      </c>
      <c r="J726" s="67">
        <f>13.2284 * CHOOSE(CONTROL!$C$23, $C$13, 100%, $E$13)</f>
        <v>13.228400000000001</v>
      </c>
      <c r="K726" s="67">
        <f>13.2331 * CHOOSE(CONTROL!$C$23, $C$13, 100%, $E$13)</f>
        <v>13.2331</v>
      </c>
    </row>
    <row r="727" spans="1:11" ht="15">
      <c r="A727" s="13">
        <v>63249</v>
      </c>
      <c r="B727" s="66">
        <f>11.717 * CHOOSE(CONTROL!$C$23, $C$13, 100%, $E$13)</f>
        <v>11.717000000000001</v>
      </c>
      <c r="C727" s="66">
        <f>11.717 * CHOOSE(CONTROL!$C$23, $C$13, 100%, $E$13)</f>
        <v>11.717000000000001</v>
      </c>
      <c r="D727" s="66">
        <f>11.7208 * CHOOSE(CONTROL!$C$23, $C$13, 100%, $E$13)</f>
        <v>11.720800000000001</v>
      </c>
      <c r="E727" s="67">
        <f>13.4117 * CHOOSE(CONTROL!$C$23, $C$13, 100%, $E$13)</f>
        <v>13.4117</v>
      </c>
      <c r="F727" s="67">
        <f>13.4117 * CHOOSE(CONTROL!$C$23, $C$13, 100%, $E$13)</f>
        <v>13.4117</v>
      </c>
      <c r="G727" s="67">
        <f>13.4165 * CHOOSE(CONTROL!$C$23, $C$13, 100%, $E$13)</f>
        <v>13.416499999999999</v>
      </c>
      <c r="H727" s="67">
        <f>24.976* CHOOSE(CONTROL!$C$23, $C$13, 100%, $E$13)</f>
        <v>24.975999999999999</v>
      </c>
      <c r="I727" s="67">
        <f>24.9808 * CHOOSE(CONTROL!$C$23, $C$13, 100%, $E$13)</f>
        <v>24.980799999999999</v>
      </c>
      <c r="J727" s="67">
        <f>13.4117 * CHOOSE(CONTROL!$C$23, $C$13, 100%, $E$13)</f>
        <v>13.4117</v>
      </c>
      <c r="K727" s="67">
        <f>13.4165 * CHOOSE(CONTROL!$C$23, $C$13, 100%, $E$13)</f>
        <v>13.416499999999999</v>
      </c>
    </row>
    <row r="728" spans="1:11" ht="15">
      <c r="A728" s="13">
        <v>63280</v>
      </c>
      <c r="B728" s="66">
        <f>11.7211 * CHOOSE(CONTROL!$C$23, $C$13, 100%, $E$13)</f>
        <v>11.7211</v>
      </c>
      <c r="C728" s="66">
        <f>11.7211 * CHOOSE(CONTROL!$C$23, $C$13, 100%, $E$13)</f>
        <v>11.7211</v>
      </c>
      <c r="D728" s="66">
        <f>11.725 * CHOOSE(CONTROL!$C$23, $C$13, 100%, $E$13)</f>
        <v>11.725</v>
      </c>
      <c r="E728" s="67">
        <f>13.6066 * CHOOSE(CONTROL!$C$23, $C$13, 100%, $E$13)</f>
        <v>13.6066</v>
      </c>
      <c r="F728" s="67">
        <f>13.6066 * CHOOSE(CONTROL!$C$23, $C$13, 100%, $E$13)</f>
        <v>13.6066</v>
      </c>
      <c r="G728" s="67">
        <f>13.6114 * CHOOSE(CONTROL!$C$23, $C$13, 100%, $E$13)</f>
        <v>13.6114</v>
      </c>
      <c r="H728" s="67">
        <f>25.028* CHOOSE(CONTROL!$C$23, $C$13, 100%, $E$13)</f>
        <v>25.027999999999999</v>
      </c>
      <c r="I728" s="67">
        <f>25.0328 * CHOOSE(CONTROL!$C$23, $C$13, 100%, $E$13)</f>
        <v>25.032800000000002</v>
      </c>
      <c r="J728" s="67">
        <f>13.6066 * CHOOSE(CONTROL!$C$23, $C$13, 100%, $E$13)</f>
        <v>13.6066</v>
      </c>
      <c r="K728" s="67">
        <f>13.6114 * CHOOSE(CONTROL!$C$23, $C$13, 100%, $E$13)</f>
        <v>13.6114</v>
      </c>
    </row>
    <row r="729" spans="1:11" ht="15">
      <c r="A729" s="13">
        <v>63310</v>
      </c>
      <c r="B729" s="66">
        <f>11.7211 * CHOOSE(CONTROL!$C$23, $C$13, 100%, $E$13)</f>
        <v>11.7211</v>
      </c>
      <c r="C729" s="66">
        <f>11.7211 * CHOOSE(CONTROL!$C$23, $C$13, 100%, $E$13)</f>
        <v>11.7211</v>
      </c>
      <c r="D729" s="66">
        <f>11.7266 * CHOOSE(CONTROL!$C$23, $C$13, 100%, $E$13)</f>
        <v>11.726599999999999</v>
      </c>
      <c r="E729" s="67">
        <f>13.6813 * CHOOSE(CONTROL!$C$23, $C$13, 100%, $E$13)</f>
        <v>13.6813</v>
      </c>
      <c r="F729" s="67">
        <f>13.6813 * CHOOSE(CONTROL!$C$23, $C$13, 100%, $E$13)</f>
        <v>13.6813</v>
      </c>
      <c r="G729" s="67">
        <f>13.688 * CHOOSE(CONTROL!$C$23, $C$13, 100%, $E$13)</f>
        <v>13.688000000000001</v>
      </c>
      <c r="H729" s="67">
        <f>25.0802* CHOOSE(CONTROL!$C$23, $C$13, 100%, $E$13)</f>
        <v>25.080200000000001</v>
      </c>
      <c r="I729" s="67">
        <f>25.0869 * CHOOSE(CONTROL!$C$23, $C$13, 100%, $E$13)</f>
        <v>25.0869</v>
      </c>
      <c r="J729" s="67">
        <f>13.6813 * CHOOSE(CONTROL!$C$23, $C$13, 100%, $E$13)</f>
        <v>13.6813</v>
      </c>
      <c r="K729" s="67">
        <f>13.688 * CHOOSE(CONTROL!$C$23, $C$13, 100%, $E$13)</f>
        <v>13.688000000000001</v>
      </c>
    </row>
    <row r="730" spans="1:11" ht="15">
      <c r="A730" s="13">
        <v>63341</v>
      </c>
      <c r="B730" s="66">
        <f>11.7272 * CHOOSE(CONTROL!$C$23, $C$13, 100%, $E$13)</f>
        <v>11.7272</v>
      </c>
      <c r="C730" s="66">
        <f>11.7272 * CHOOSE(CONTROL!$C$23, $C$13, 100%, $E$13)</f>
        <v>11.7272</v>
      </c>
      <c r="D730" s="66">
        <f>11.7327 * CHOOSE(CONTROL!$C$23, $C$13, 100%, $E$13)</f>
        <v>11.732699999999999</v>
      </c>
      <c r="E730" s="67">
        <f>13.6108 * CHOOSE(CONTROL!$C$23, $C$13, 100%, $E$13)</f>
        <v>13.610799999999999</v>
      </c>
      <c r="F730" s="67">
        <f>13.6108 * CHOOSE(CONTROL!$C$23, $C$13, 100%, $E$13)</f>
        <v>13.610799999999999</v>
      </c>
      <c r="G730" s="67">
        <f>13.6176 * CHOOSE(CONTROL!$C$23, $C$13, 100%, $E$13)</f>
        <v>13.617599999999999</v>
      </c>
      <c r="H730" s="67">
        <f>25.1324* CHOOSE(CONTROL!$C$23, $C$13, 100%, $E$13)</f>
        <v>25.132400000000001</v>
      </c>
      <c r="I730" s="67">
        <f>25.1392 * CHOOSE(CONTROL!$C$23, $C$13, 100%, $E$13)</f>
        <v>25.139199999999999</v>
      </c>
      <c r="J730" s="67">
        <f>13.6108 * CHOOSE(CONTROL!$C$23, $C$13, 100%, $E$13)</f>
        <v>13.610799999999999</v>
      </c>
      <c r="K730" s="67">
        <f>13.6176 * CHOOSE(CONTROL!$C$23, $C$13, 100%, $E$13)</f>
        <v>13.617599999999999</v>
      </c>
    </row>
    <row r="731" spans="1:11" ht="15">
      <c r="A731" s="13">
        <v>63371</v>
      </c>
      <c r="B731" s="66">
        <f>11.9066 * CHOOSE(CONTROL!$C$23, $C$13, 100%, $E$13)</f>
        <v>11.906599999999999</v>
      </c>
      <c r="C731" s="66">
        <f>11.9066 * CHOOSE(CONTROL!$C$23, $C$13, 100%, $E$13)</f>
        <v>11.906599999999999</v>
      </c>
      <c r="D731" s="66">
        <f>11.9121 * CHOOSE(CONTROL!$C$23, $C$13, 100%, $E$13)</f>
        <v>11.912100000000001</v>
      </c>
      <c r="E731" s="67">
        <f>13.8292 * CHOOSE(CONTROL!$C$23, $C$13, 100%, $E$13)</f>
        <v>13.8292</v>
      </c>
      <c r="F731" s="67">
        <f>13.8292 * CHOOSE(CONTROL!$C$23, $C$13, 100%, $E$13)</f>
        <v>13.8292</v>
      </c>
      <c r="G731" s="67">
        <f>13.8359 * CHOOSE(CONTROL!$C$23, $C$13, 100%, $E$13)</f>
        <v>13.835900000000001</v>
      </c>
      <c r="H731" s="67">
        <f>25.1848* CHOOSE(CONTROL!$C$23, $C$13, 100%, $E$13)</f>
        <v>25.184799999999999</v>
      </c>
      <c r="I731" s="67">
        <f>25.1915 * CHOOSE(CONTROL!$C$23, $C$13, 100%, $E$13)</f>
        <v>25.191500000000001</v>
      </c>
      <c r="J731" s="67">
        <f>13.8292 * CHOOSE(CONTROL!$C$23, $C$13, 100%, $E$13)</f>
        <v>13.8292</v>
      </c>
      <c r="K731" s="67">
        <f>13.8359 * CHOOSE(CONTROL!$C$23, $C$13, 100%, $E$13)</f>
        <v>13.835900000000001</v>
      </c>
    </row>
    <row r="732" spans="1:11" ht="15">
      <c r="A732" s="13">
        <v>63402</v>
      </c>
      <c r="B732" s="66">
        <f>11.9133 * CHOOSE(CONTROL!$C$23, $C$13, 100%, $E$13)</f>
        <v>11.9133</v>
      </c>
      <c r="C732" s="66">
        <f>11.9133 * CHOOSE(CONTROL!$C$23, $C$13, 100%, $E$13)</f>
        <v>11.9133</v>
      </c>
      <c r="D732" s="66">
        <f>11.9188 * CHOOSE(CONTROL!$C$23, $C$13, 100%, $E$13)</f>
        <v>11.918799999999999</v>
      </c>
      <c r="E732" s="67">
        <f>13.6098 * CHOOSE(CONTROL!$C$23, $C$13, 100%, $E$13)</f>
        <v>13.6098</v>
      </c>
      <c r="F732" s="67">
        <f>13.6098 * CHOOSE(CONTROL!$C$23, $C$13, 100%, $E$13)</f>
        <v>13.6098</v>
      </c>
      <c r="G732" s="67">
        <f>13.6165 * CHOOSE(CONTROL!$C$23, $C$13, 100%, $E$13)</f>
        <v>13.6165</v>
      </c>
      <c r="H732" s="67">
        <f>25.2373* CHOOSE(CONTROL!$C$23, $C$13, 100%, $E$13)</f>
        <v>25.237300000000001</v>
      </c>
      <c r="I732" s="67">
        <f>25.244 * CHOOSE(CONTROL!$C$23, $C$13, 100%, $E$13)</f>
        <v>25.244</v>
      </c>
      <c r="J732" s="67">
        <f>13.6098 * CHOOSE(CONTROL!$C$23, $C$13, 100%, $E$13)</f>
        <v>13.6098</v>
      </c>
      <c r="K732" s="67">
        <f>13.6165 * CHOOSE(CONTROL!$C$23, $C$13, 100%, $E$13)</f>
        <v>13.6165</v>
      </c>
    </row>
    <row r="733" spans="1:11" ht="15">
      <c r="A733" s="13">
        <v>63433</v>
      </c>
      <c r="B733" s="66">
        <f>11.9103 * CHOOSE(CONTROL!$C$23, $C$13, 100%, $E$13)</f>
        <v>11.910299999999999</v>
      </c>
      <c r="C733" s="66">
        <f>11.9103 * CHOOSE(CONTROL!$C$23, $C$13, 100%, $E$13)</f>
        <v>11.910299999999999</v>
      </c>
      <c r="D733" s="66">
        <f>11.9158 * CHOOSE(CONTROL!$C$23, $C$13, 100%, $E$13)</f>
        <v>11.915800000000001</v>
      </c>
      <c r="E733" s="67">
        <f>13.5828 * CHOOSE(CONTROL!$C$23, $C$13, 100%, $E$13)</f>
        <v>13.582800000000001</v>
      </c>
      <c r="F733" s="67">
        <f>13.5828 * CHOOSE(CONTROL!$C$23, $C$13, 100%, $E$13)</f>
        <v>13.582800000000001</v>
      </c>
      <c r="G733" s="67">
        <f>13.5895 * CHOOSE(CONTROL!$C$23, $C$13, 100%, $E$13)</f>
        <v>13.589499999999999</v>
      </c>
      <c r="H733" s="67">
        <f>25.2898* CHOOSE(CONTROL!$C$23, $C$13, 100%, $E$13)</f>
        <v>25.2898</v>
      </c>
      <c r="I733" s="67">
        <f>25.2966 * CHOOSE(CONTROL!$C$23, $C$13, 100%, $E$13)</f>
        <v>25.296600000000002</v>
      </c>
      <c r="J733" s="67">
        <f>13.5828 * CHOOSE(CONTROL!$C$23, $C$13, 100%, $E$13)</f>
        <v>13.582800000000001</v>
      </c>
      <c r="K733" s="67">
        <f>13.5895 * CHOOSE(CONTROL!$C$23, $C$13, 100%, $E$13)</f>
        <v>13.589499999999999</v>
      </c>
    </row>
    <row r="734" spans="1:11" ht="15">
      <c r="A734" s="13">
        <v>63463</v>
      </c>
      <c r="B734" s="66">
        <f>11.9309 * CHOOSE(CONTROL!$C$23, $C$13, 100%, $E$13)</f>
        <v>11.930899999999999</v>
      </c>
      <c r="C734" s="66">
        <f>11.9309 * CHOOSE(CONTROL!$C$23, $C$13, 100%, $E$13)</f>
        <v>11.930899999999999</v>
      </c>
      <c r="D734" s="66">
        <f>11.9348 * CHOOSE(CONTROL!$C$23, $C$13, 100%, $E$13)</f>
        <v>11.934799999999999</v>
      </c>
      <c r="E734" s="67">
        <f>13.6689 * CHOOSE(CONTROL!$C$23, $C$13, 100%, $E$13)</f>
        <v>13.668900000000001</v>
      </c>
      <c r="F734" s="67">
        <f>13.6689 * CHOOSE(CONTROL!$C$23, $C$13, 100%, $E$13)</f>
        <v>13.668900000000001</v>
      </c>
      <c r="G734" s="67">
        <f>13.6737 * CHOOSE(CONTROL!$C$23, $C$13, 100%, $E$13)</f>
        <v>13.6737</v>
      </c>
      <c r="H734" s="67">
        <f>25.3425* CHOOSE(CONTROL!$C$23, $C$13, 100%, $E$13)</f>
        <v>25.342500000000001</v>
      </c>
      <c r="I734" s="67">
        <f>25.3473 * CHOOSE(CONTROL!$C$23, $C$13, 100%, $E$13)</f>
        <v>25.347300000000001</v>
      </c>
      <c r="J734" s="67">
        <f>13.6689 * CHOOSE(CONTROL!$C$23, $C$13, 100%, $E$13)</f>
        <v>13.668900000000001</v>
      </c>
      <c r="K734" s="67">
        <f>13.6737 * CHOOSE(CONTROL!$C$23, $C$13, 100%, $E$13)</f>
        <v>13.6737</v>
      </c>
    </row>
    <row r="735" spans="1:11" ht="15">
      <c r="A735" s="13">
        <v>63494</v>
      </c>
      <c r="B735" s="66">
        <f>11.9339 * CHOOSE(CONTROL!$C$23, $C$13, 100%, $E$13)</f>
        <v>11.9339</v>
      </c>
      <c r="C735" s="66">
        <f>11.9339 * CHOOSE(CONTROL!$C$23, $C$13, 100%, $E$13)</f>
        <v>11.9339</v>
      </c>
      <c r="D735" s="66">
        <f>11.9378 * CHOOSE(CONTROL!$C$23, $C$13, 100%, $E$13)</f>
        <v>11.937799999999999</v>
      </c>
      <c r="E735" s="67">
        <f>13.7208 * CHOOSE(CONTROL!$C$23, $C$13, 100%, $E$13)</f>
        <v>13.720800000000001</v>
      </c>
      <c r="F735" s="67">
        <f>13.7208 * CHOOSE(CONTROL!$C$23, $C$13, 100%, $E$13)</f>
        <v>13.720800000000001</v>
      </c>
      <c r="G735" s="67">
        <f>13.7256 * CHOOSE(CONTROL!$C$23, $C$13, 100%, $E$13)</f>
        <v>13.7256</v>
      </c>
      <c r="H735" s="67">
        <f>25.3953* CHOOSE(CONTROL!$C$23, $C$13, 100%, $E$13)</f>
        <v>25.395299999999999</v>
      </c>
      <c r="I735" s="67">
        <f>25.4001 * CHOOSE(CONTROL!$C$23, $C$13, 100%, $E$13)</f>
        <v>25.400099999999998</v>
      </c>
      <c r="J735" s="67">
        <f>13.7208 * CHOOSE(CONTROL!$C$23, $C$13, 100%, $E$13)</f>
        <v>13.720800000000001</v>
      </c>
      <c r="K735" s="67">
        <f>13.7256 * CHOOSE(CONTROL!$C$23, $C$13, 100%, $E$13)</f>
        <v>13.7256</v>
      </c>
    </row>
    <row r="736" spans="1:11" ht="15">
      <c r="A736" s="13">
        <v>63524</v>
      </c>
      <c r="B736" s="66">
        <f>11.9339 * CHOOSE(CONTROL!$C$23, $C$13, 100%, $E$13)</f>
        <v>11.9339</v>
      </c>
      <c r="C736" s="66">
        <f>11.9339 * CHOOSE(CONTROL!$C$23, $C$13, 100%, $E$13)</f>
        <v>11.9339</v>
      </c>
      <c r="D736" s="66">
        <f>11.9378 * CHOOSE(CONTROL!$C$23, $C$13, 100%, $E$13)</f>
        <v>11.937799999999999</v>
      </c>
      <c r="E736" s="67">
        <f>13.5964 * CHOOSE(CONTROL!$C$23, $C$13, 100%, $E$13)</f>
        <v>13.596399999999999</v>
      </c>
      <c r="F736" s="67">
        <f>13.5964 * CHOOSE(CONTROL!$C$23, $C$13, 100%, $E$13)</f>
        <v>13.596399999999999</v>
      </c>
      <c r="G736" s="67">
        <f>13.6011 * CHOOSE(CONTROL!$C$23, $C$13, 100%, $E$13)</f>
        <v>13.601100000000001</v>
      </c>
      <c r="H736" s="67">
        <f>25.4482* CHOOSE(CONTROL!$C$23, $C$13, 100%, $E$13)</f>
        <v>25.4482</v>
      </c>
      <c r="I736" s="67">
        <f>25.453 * CHOOSE(CONTROL!$C$23, $C$13, 100%, $E$13)</f>
        <v>25.452999999999999</v>
      </c>
      <c r="J736" s="67">
        <f>13.5964 * CHOOSE(CONTROL!$C$23, $C$13, 100%, $E$13)</f>
        <v>13.596399999999999</v>
      </c>
      <c r="K736" s="67">
        <f>13.6011 * CHOOSE(CONTROL!$C$23, $C$13, 100%, $E$13)</f>
        <v>13.601100000000001</v>
      </c>
    </row>
    <row r="737" spans="1:11" ht="15">
      <c r="A737" s="13">
        <v>63555</v>
      </c>
      <c r="B737" s="66">
        <f>11.9586 * CHOOSE(CONTROL!$C$23, $C$13, 100%, $E$13)</f>
        <v>11.958600000000001</v>
      </c>
      <c r="C737" s="66">
        <f>11.9586 * CHOOSE(CONTROL!$C$23, $C$13, 100%, $E$13)</f>
        <v>11.958600000000001</v>
      </c>
      <c r="D737" s="66">
        <f>11.9625 * CHOOSE(CONTROL!$C$23, $C$13, 100%, $E$13)</f>
        <v>11.9625</v>
      </c>
      <c r="E737" s="67">
        <f>13.7204 * CHOOSE(CONTROL!$C$23, $C$13, 100%, $E$13)</f>
        <v>13.7204</v>
      </c>
      <c r="F737" s="67">
        <f>13.7204 * CHOOSE(CONTROL!$C$23, $C$13, 100%, $E$13)</f>
        <v>13.7204</v>
      </c>
      <c r="G737" s="67">
        <f>13.7252 * CHOOSE(CONTROL!$C$23, $C$13, 100%, $E$13)</f>
        <v>13.725199999999999</v>
      </c>
      <c r="H737" s="67">
        <f>25.3548* CHOOSE(CONTROL!$C$23, $C$13, 100%, $E$13)</f>
        <v>25.354800000000001</v>
      </c>
      <c r="I737" s="67">
        <f>25.3596 * CHOOSE(CONTROL!$C$23, $C$13, 100%, $E$13)</f>
        <v>25.3596</v>
      </c>
      <c r="J737" s="67">
        <f>13.7204 * CHOOSE(CONTROL!$C$23, $C$13, 100%, $E$13)</f>
        <v>13.7204</v>
      </c>
      <c r="K737" s="67">
        <f>13.7252 * CHOOSE(CONTROL!$C$23, $C$13, 100%, $E$13)</f>
        <v>13.725199999999999</v>
      </c>
    </row>
    <row r="738" spans="1:11" ht="15">
      <c r="A738" s="13">
        <v>63586</v>
      </c>
      <c r="B738" s="66">
        <f>11.9556 * CHOOSE(CONTROL!$C$23, $C$13, 100%, $E$13)</f>
        <v>11.9556</v>
      </c>
      <c r="C738" s="66">
        <f>11.9556 * CHOOSE(CONTROL!$C$23, $C$13, 100%, $E$13)</f>
        <v>11.9556</v>
      </c>
      <c r="D738" s="66">
        <f>11.9594 * CHOOSE(CONTROL!$C$23, $C$13, 100%, $E$13)</f>
        <v>11.9594</v>
      </c>
      <c r="E738" s="67">
        <f>13.4782 * CHOOSE(CONTROL!$C$23, $C$13, 100%, $E$13)</f>
        <v>13.478199999999999</v>
      </c>
      <c r="F738" s="67">
        <f>13.4782 * CHOOSE(CONTROL!$C$23, $C$13, 100%, $E$13)</f>
        <v>13.478199999999999</v>
      </c>
      <c r="G738" s="67">
        <f>13.4829 * CHOOSE(CONTROL!$C$23, $C$13, 100%, $E$13)</f>
        <v>13.482900000000001</v>
      </c>
      <c r="H738" s="67">
        <f>25.4076* CHOOSE(CONTROL!$C$23, $C$13, 100%, $E$13)</f>
        <v>25.407599999999999</v>
      </c>
      <c r="I738" s="67">
        <f>25.4124 * CHOOSE(CONTROL!$C$23, $C$13, 100%, $E$13)</f>
        <v>25.412400000000002</v>
      </c>
      <c r="J738" s="67">
        <f>13.4782 * CHOOSE(CONTROL!$C$23, $C$13, 100%, $E$13)</f>
        <v>13.478199999999999</v>
      </c>
      <c r="K738" s="67">
        <f>13.4829 * CHOOSE(CONTROL!$C$23, $C$13, 100%, $E$13)</f>
        <v>13.482900000000001</v>
      </c>
    </row>
    <row r="739" spans="1:11" ht="15">
      <c r="A739" s="13">
        <v>63614</v>
      </c>
      <c r="B739" s="66">
        <f>11.9525 * CHOOSE(CONTROL!$C$23, $C$13, 100%, $E$13)</f>
        <v>11.952500000000001</v>
      </c>
      <c r="C739" s="66">
        <f>11.9525 * CHOOSE(CONTROL!$C$23, $C$13, 100%, $E$13)</f>
        <v>11.952500000000001</v>
      </c>
      <c r="D739" s="66">
        <f>11.9564 * CHOOSE(CONTROL!$C$23, $C$13, 100%, $E$13)</f>
        <v>11.9564</v>
      </c>
      <c r="E739" s="67">
        <f>13.6654 * CHOOSE(CONTROL!$C$23, $C$13, 100%, $E$13)</f>
        <v>13.6654</v>
      </c>
      <c r="F739" s="67">
        <f>13.6654 * CHOOSE(CONTROL!$C$23, $C$13, 100%, $E$13)</f>
        <v>13.6654</v>
      </c>
      <c r="G739" s="67">
        <f>13.6701 * CHOOSE(CONTROL!$C$23, $C$13, 100%, $E$13)</f>
        <v>13.6701</v>
      </c>
      <c r="H739" s="67">
        <f>25.4606* CHOOSE(CONTROL!$C$23, $C$13, 100%, $E$13)</f>
        <v>25.460599999999999</v>
      </c>
      <c r="I739" s="67">
        <f>25.4653 * CHOOSE(CONTROL!$C$23, $C$13, 100%, $E$13)</f>
        <v>25.465299999999999</v>
      </c>
      <c r="J739" s="67">
        <f>13.6654 * CHOOSE(CONTROL!$C$23, $C$13, 100%, $E$13)</f>
        <v>13.6654</v>
      </c>
      <c r="K739" s="67">
        <f>13.6701 * CHOOSE(CONTROL!$C$23, $C$13, 100%, $E$13)</f>
        <v>13.6701</v>
      </c>
    </row>
    <row r="740" spans="1:11" ht="15">
      <c r="A740" s="13">
        <v>63645</v>
      </c>
      <c r="B740" s="66">
        <f>11.9569 * CHOOSE(CONTROL!$C$23, $C$13, 100%, $E$13)</f>
        <v>11.956899999999999</v>
      </c>
      <c r="C740" s="66">
        <f>11.9569 * CHOOSE(CONTROL!$C$23, $C$13, 100%, $E$13)</f>
        <v>11.956899999999999</v>
      </c>
      <c r="D740" s="66">
        <f>11.9607 * CHOOSE(CONTROL!$C$23, $C$13, 100%, $E$13)</f>
        <v>11.960699999999999</v>
      </c>
      <c r="E740" s="67">
        <f>13.8645 * CHOOSE(CONTROL!$C$23, $C$13, 100%, $E$13)</f>
        <v>13.8645</v>
      </c>
      <c r="F740" s="67">
        <f>13.8645 * CHOOSE(CONTROL!$C$23, $C$13, 100%, $E$13)</f>
        <v>13.8645</v>
      </c>
      <c r="G740" s="67">
        <f>13.8692 * CHOOSE(CONTROL!$C$23, $C$13, 100%, $E$13)</f>
        <v>13.869199999999999</v>
      </c>
      <c r="H740" s="67">
        <f>25.5136* CHOOSE(CONTROL!$C$23, $C$13, 100%, $E$13)</f>
        <v>25.5136</v>
      </c>
      <c r="I740" s="67">
        <f>25.5184 * CHOOSE(CONTROL!$C$23, $C$13, 100%, $E$13)</f>
        <v>25.5184</v>
      </c>
      <c r="J740" s="67">
        <f>13.8645 * CHOOSE(CONTROL!$C$23, $C$13, 100%, $E$13)</f>
        <v>13.8645</v>
      </c>
      <c r="K740" s="67">
        <f>13.8692 * CHOOSE(CONTROL!$C$23, $C$13, 100%, $E$13)</f>
        <v>13.869199999999999</v>
      </c>
    </row>
    <row r="741" spans="1:11" ht="15">
      <c r="A741" s="13">
        <v>63675</v>
      </c>
      <c r="B741" s="66">
        <f>11.9569 * CHOOSE(CONTROL!$C$23, $C$13, 100%, $E$13)</f>
        <v>11.956899999999999</v>
      </c>
      <c r="C741" s="66">
        <f>11.9569 * CHOOSE(CONTROL!$C$23, $C$13, 100%, $E$13)</f>
        <v>11.956899999999999</v>
      </c>
      <c r="D741" s="66">
        <f>11.9624 * CHOOSE(CONTROL!$C$23, $C$13, 100%, $E$13)</f>
        <v>11.962400000000001</v>
      </c>
      <c r="E741" s="67">
        <f>13.9407 * CHOOSE(CONTROL!$C$23, $C$13, 100%, $E$13)</f>
        <v>13.9407</v>
      </c>
      <c r="F741" s="67">
        <f>13.9407 * CHOOSE(CONTROL!$C$23, $C$13, 100%, $E$13)</f>
        <v>13.9407</v>
      </c>
      <c r="G741" s="67">
        <f>13.9474 * CHOOSE(CONTROL!$C$23, $C$13, 100%, $E$13)</f>
        <v>13.9474</v>
      </c>
      <c r="H741" s="67">
        <f>25.5668* CHOOSE(CONTROL!$C$23, $C$13, 100%, $E$13)</f>
        <v>25.566800000000001</v>
      </c>
      <c r="I741" s="67">
        <f>25.5735 * CHOOSE(CONTROL!$C$23, $C$13, 100%, $E$13)</f>
        <v>25.573499999999999</v>
      </c>
      <c r="J741" s="67">
        <f>13.9407 * CHOOSE(CONTROL!$C$23, $C$13, 100%, $E$13)</f>
        <v>13.9407</v>
      </c>
      <c r="K741" s="67">
        <f>13.9474 * CHOOSE(CONTROL!$C$23, $C$13, 100%, $E$13)</f>
        <v>13.9474</v>
      </c>
    </row>
    <row r="742" spans="1:11" ht="15">
      <c r="A742" s="13">
        <v>63706</v>
      </c>
      <c r="B742" s="66">
        <f>11.9629 * CHOOSE(CONTROL!$C$23, $C$13, 100%, $E$13)</f>
        <v>11.962899999999999</v>
      </c>
      <c r="C742" s="66">
        <f>11.9629 * CHOOSE(CONTROL!$C$23, $C$13, 100%, $E$13)</f>
        <v>11.962899999999999</v>
      </c>
      <c r="D742" s="66">
        <f>11.9684 * CHOOSE(CONTROL!$C$23, $C$13, 100%, $E$13)</f>
        <v>11.968400000000001</v>
      </c>
      <c r="E742" s="67">
        <f>13.8687 * CHOOSE(CONTROL!$C$23, $C$13, 100%, $E$13)</f>
        <v>13.8687</v>
      </c>
      <c r="F742" s="67">
        <f>13.8687 * CHOOSE(CONTROL!$C$23, $C$13, 100%, $E$13)</f>
        <v>13.8687</v>
      </c>
      <c r="G742" s="67">
        <f>13.8754 * CHOOSE(CONTROL!$C$23, $C$13, 100%, $E$13)</f>
        <v>13.875400000000001</v>
      </c>
      <c r="H742" s="67">
        <f>25.62* CHOOSE(CONTROL!$C$23, $C$13, 100%, $E$13)</f>
        <v>25.62</v>
      </c>
      <c r="I742" s="67">
        <f>25.6268 * CHOOSE(CONTROL!$C$23, $C$13, 100%, $E$13)</f>
        <v>25.626799999999999</v>
      </c>
      <c r="J742" s="67">
        <f>13.8687 * CHOOSE(CONTROL!$C$23, $C$13, 100%, $E$13)</f>
        <v>13.8687</v>
      </c>
      <c r="K742" s="67">
        <f>13.8754 * CHOOSE(CONTROL!$C$23, $C$13, 100%, $E$13)</f>
        <v>13.875400000000001</v>
      </c>
    </row>
    <row r="743" spans="1:11" ht="15">
      <c r="A743" s="13">
        <v>63736</v>
      </c>
      <c r="B743" s="66">
        <f>12.1458 * CHOOSE(CONTROL!$C$23, $C$13, 100%, $E$13)</f>
        <v>12.145799999999999</v>
      </c>
      <c r="C743" s="66">
        <f>12.1458 * CHOOSE(CONTROL!$C$23, $C$13, 100%, $E$13)</f>
        <v>12.145799999999999</v>
      </c>
      <c r="D743" s="66">
        <f>12.1513 * CHOOSE(CONTROL!$C$23, $C$13, 100%, $E$13)</f>
        <v>12.151300000000001</v>
      </c>
      <c r="E743" s="67">
        <f>14.0909 * CHOOSE(CONTROL!$C$23, $C$13, 100%, $E$13)</f>
        <v>14.0909</v>
      </c>
      <c r="F743" s="67">
        <f>14.0909 * CHOOSE(CONTROL!$C$23, $C$13, 100%, $E$13)</f>
        <v>14.0909</v>
      </c>
      <c r="G743" s="67">
        <f>14.0977 * CHOOSE(CONTROL!$C$23, $C$13, 100%, $E$13)</f>
        <v>14.0977</v>
      </c>
      <c r="H743" s="67">
        <f>25.6734* CHOOSE(CONTROL!$C$23, $C$13, 100%, $E$13)</f>
        <v>25.673400000000001</v>
      </c>
      <c r="I743" s="67">
        <f>25.6801 * CHOOSE(CONTROL!$C$23, $C$13, 100%, $E$13)</f>
        <v>25.680099999999999</v>
      </c>
      <c r="J743" s="67">
        <f>14.0909 * CHOOSE(CONTROL!$C$23, $C$13, 100%, $E$13)</f>
        <v>14.0909</v>
      </c>
      <c r="K743" s="67">
        <f>14.0977 * CHOOSE(CONTROL!$C$23, $C$13, 100%, $E$13)</f>
        <v>14.0977</v>
      </c>
    </row>
    <row r="744" spans="1:11" ht="15">
      <c r="A744" s="13">
        <v>63767</v>
      </c>
      <c r="B744" s="66">
        <f>12.1525 * CHOOSE(CONTROL!$C$23, $C$13, 100%, $E$13)</f>
        <v>12.1525</v>
      </c>
      <c r="C744" s="66">
        <f>12.1525 * CHOOSE(CONTROL!$C$23, $C$13, 100%, $E$13)</f>
        <v>12.1525</v>
      </c>
      <c r="D744" s="66">
        <f>12.158 * CHOOSE(CONTROL!$C$23, $C$13, 100%, $E$13)</f>
        <v>12.157999999999999</v>
      </c>
      <c r="E744" s="67">
        <f>13.8668 * CHOOSE(CONTROL!$C$23, $C$13, 100%, $E$13)</f>
        <v>13.8668</v>
      </c>
      <c r="F744" s="67">
        <f>13.8668 * CHOOSE(CONTROL!$C$23, $C$13, 100%, $E$13)</f>
        <v>13.8668</v>
      </c>
      <c r="G744" s="67">
        <f>13.8736 * CHOOSE(CONTROL!$C$23, $C$13, 100%, $E$13)</f>
        <v>13.8736</v>
      </c>
      <c r="H744" s="67">
        <f>25.7269* CHOOSE(CONTROL!$C$23, $C$13, 100%, $E$13)</f>
        <v>25.726900000000001</v>
      </c>
      <c r="I744" s="67">
        <f>25.7336 * CHOOSE(CONTROL!$C$23, $C$13, 100%, $E$13)</f>
        <v>25.733599999999999</v>
      </c>
      <c r="J744" s="67">
        <f>13.8668 * CHOOSE(CONTROL!$C$23, $C$13, 100%, $E$13)</f>
        <v>13.8668</v>
      </c>
      <c r="K744" s="67">
        <f>13.8736 * CHOOSE(CONTROL!$C$23, $C$13, 100%, $E$13)</f>
        <v>13.8736</v>
      </c>
    </row>
    <row r="745" spans="1:11" ht="15">
      <c r="A745" s="13">
        <v>63798</v>
      </c>
      <c r="B745" s="66">
        <f>12.1495 * CHOOSE(CONTROL!$C$23, $C$13, 100%, $E$13)</f>
        <v>12.1495</v>
      </c>
      <c r="C745" s="66">
        <f>12.1495 * CHOOSE(CONTROL!$C$23, $C$13, 100%, $E$13)</f>
        <v>12.1495</v>
      </c>
      <c r="D745" s="66">
        <f>12.155 * CHOOSE(CONTROL!$C$23, $C$13, 100%, $E$13)</f>
        <v>12.154999999999999</v>
      </c>
      <c r="E745" s="67">
        <f>13.8393 * CHOOSE(CONTROL!$C$23, $C$13, 100%, $E$13)</f>
        <v>13.8393</v>
      </c>
      <c r="F745" s="67">
        <f>13.8393 * CHOOSE(CONTROL!$C$23, $C$13, 100%, $E$13)</f>
        <v>13.8393</v>
      </c>
      <c r="G745" s="67">
        <f>13.8461 * CHOOSE(CONTROL!$C$23, $C$13, 100%, $E$13)</f>
        <v>13.8461</v>
      </c>
      <c r="H745" s="67">
        <f>25.7805* CHOOSE(CONTROL!$C$23, $C$13, 100%, $E$13)</f>
        <v>25.7805</v>
      </c>
      <c r="I745" s="67">
        <f>25.7872 * CHOOSE(CONTROL!$C$23, $C$13, 100%, $E$13)</f>
        <v>25.787199999999999</v>
      </c>
      <c r="J745" s="67">
        <f>13.8393 * CHOOSE(CONTROL!$C$23, $C$13, 100%, $E$13)</f>
        <v>13.8393</v>
      </c>
      <c r="K745" s="67">
        <f>13.8461 * CHOOSE(CONTROL!$C$23, $C$13, 100%, $E$13)</f>
        <v>13.8461</v>
      </c>
    </row>
    <row r="746" spans="1:11" ht="15">
      <c r="A746" s="13">
        <v>63828</v>
      </c>
      <c r="B746" s="66">
        <f>12.1708 * CHOOSE(CONTROL!$C$23, $C$13, 100%, $E$13)</f>
        <v>12.1708</v>
      </c>
      <c r="C746" s="66">
        <f>12.1708 * CHOOSE(CONTROL!$C$23, $C$13, 100%, $E$13)</f>
        <v>12.1708</v>
      </c>
      <c r="D746" s="66">
        <f>12.1747 * CHOOSE(CONTROL!$C$23, $C$13, 100%, $E$13)</f>
        <v>12.1747</v>
      </c>
      <c r="E746" s="67">
        <f>13.9276 * CHOOSE(CONTROL!$C$23, $C$13, 100%, $E$13)</f>
        <v>13.9276</v>
      </c>
      <c r="F746" s="67">
        <f>13.9276 * CHOOSE(CONTROL!$C$23, $C$13, 100%, $E$13)</f>
        <v>13.9276</v>
      </c>
      <c r="G746" s="67">
        <f>13.9323 * CHOOSE(CONTROL!$C$23, $C$13, 100%, $E$13)</f>
        <v>13.9323</v>
      </c>
      <c r="H746" s="67">
        <f>25.8342* CHOOSE(CONTROL!$C$23, $C$13, 100%, $E$13)</f>
        <v>25.834199999999999</v>
      </c>
      <c r="I746" s="67">
        <f>25.839 * CHOOSE(CONTROL!$C$23, $C$13, 100%, $E$13)</f>
        <v>25.838999999999999</v>
      </c>
      <c r="J746" s="67">
        <f>13.9276 * CHOOSE(CONTROL!$C$23, $C$13, 100%, $E$13)</f>
        <v>13.9276</v>
      </c>
      <c r="K746" s="67">
        <f>13.9323 * CHOOSE(CONTROL!$C$23, $C$13, 100%, $E$13)</f>
        <v>13.9323</v>
      </c>
    </row>
    <row r="747" spans="1:11" ht="15">
      <c r="A747" s="13">
        <v>63859</v>
      </c>
      <c r="B747" s="66">
        <f>12.1739 * CHOOSE(CONTROL!$C$23, $C$13, 100%, $E$13)</f>
        <v>12.1739</v>
      </c>
      <c r="C747" s="66">
        <f>12.1739 * CHOOSE(CONTROL!$C$23, $C$13, 100%, $E$13)</f>
        <v>12.1739</v>
      </c>
      <c r="D747" s="66">
        <f>12.1777 * CHOOSE(CONTROL!$C$23, $C$13, 100%, $E$13)</f>
        <v>12.1777</v>
      </c>
      <c r="E747" s="67">
        <f>13.9805 * CHOOSE(CONTROL!$C$23, $C$13, 100%, $E$13)</f>
        <v>13.980499999999999</v>
      </c>
      <c r="F747" s="67">
        <f>13.9805 * CHOOSE(CONTROL!$C$23, $C$13, 100%, $E$13)</f>
        <v>13.980499999999999</v>
      </c>
      <c r="G747" s="67">
        <f>13.9853 * CHOOSE(CONTROL!$C$23, $C$13, 100%, $E$13)</f>
        <v>13.985300000000001</v>
      </c>
      <c r="H747" s="67">
        <f>25.888* CHOOSE(CONTROL!$C$23, $C$13, 100%, $E$13)</f>
        <v>25.888000000000002</v>
      </c>
      <c r="I747" s="67">
        <f>25.8928 * CHOOSE(CONTROL!$C$23, $C$13, 100%, $E$13)</f>
        <v>25.892800000000001</v>
      </c>
      <c r="J747" s="67">
        <f>13.9805 * CHOOSE(CONTROL!$C$23, $C$13, 100%, $E$13)</f>
        <v>13.980499999999999</v>
      </c>
      <c r="K747" s="67">
        <f>13.9853 * CHOOSE(CONTROL!$C$23, $C$13, 100%, $E$13)</f>
        <v>13.985300000000001</v>
      </c>
    </row>
    <row r="748" spans="1:11" ht="15">
      <c r="A748" s="13">
        <v>63889</v>
      </c>
      <c r="B748" s="66">
        <f>12.1739 * CHOOSE(CONTROL!$C$23, $C$13, 100%, $E$13)</f>
        <v>12.1739</v>
      </c>
      <c r="C748" s="66">
        <f>12.1739 * CHOOSE(CONTROL!$C$23, $C$13, 100%, $E$13)</f>
        <v>12.1739</v>
      </c>
      <c r="D748" s="66">
        <f>12.1777 * CHOOSE(CONTROL!$C$23, $C$13, 100%, $E$13)</f>
        <v>12.1777</v>
      </c>
      <c r="E748" s="67">
        <f>13.8534 * CHOOSE(CONTROL!$C$23, $C$13, 100%, $E$13)</f>
        <v>13.853400000000001</v>
      </c>
      <c r="F748" s="67">
        <f>13.8534 * CHOOSE(CONTROL!$C$23, $C$13, 100%, $E$13)</f>
        <v>13.853400000000001</v>
      </c>
      <c r="G748" s="67">
        <f>13.8582 * CHOOSE(CONTROL!$C$23, $C$13, 100%, $E$13)</f>
        <v>13.8582</v>
      </c>
      <c r="H748" s="67">
        <f>25.942* CHOOSE(CONTROL!$C$23, $C$13, 100%, $E$13)</f>
        <v>25.942</v>
      </c>
      <c r="I748" s="67">
        <f>25.9467 * CHOOSE(CONTROL!$C$23, $C$13, 100%, $E$13)</f>
        <v>25.9467</v>
      </c>
      <c r="J748" s="67">
        <f>13.8534 * CHOOSE(CONTROL!$C$23, $C$13, 100%, $E$13)</f>
        <v>13.853400000000001</v>
      </c>
      <c r="K748" s="67">
        <f>13.8582 * CHOOSE(CONTROL!$C$23, $C$13, 100%, $E$13)</f>
        <v>13.8582</v>
      </c>
    </row>
    <row r="749" spans="1:11" ht="15">
      <c r="A749" s="13">
        <v>63920</v>
      </c>
      <c r="B749" s="66">
        <f>12.1942 * CHOOSE(CONTROL!$C$23, $C$13, 100%, $E$13)</f>
        <v>12.1942</v>
      </c>
      <c r="C749" s="66">
        <f>12.1942 * CHOOSE(CONTROL!$C$23, $C$13, 100%, $E$13)</f>
        <v>12.1942</v>
      </c>
      <c r="D749" s="66">
        <f>12.198 * CHOOSE(CONTROL!$C$23, $C$13, 100%, $E$13)</f>
        <v>12.198</v>
      </c>
      <c r="E749" s="67">
        <f>13.9752 * CHOOSE(CONTROL!$C$23, $C$13, 100%, $E$13)</f>
        <v>13.975199999999999</v>
      </c>
      <c r="F749" s="67">
        <f>13.9752 * CHOOSE(CONTROL!$C$23, $C$13, 100%, $E$13)</f>
        <v>13.975199999999999</v>
      </c>
      <c r="G749" s="67">
        <f>13.9799 * CHOOSE(CONTROL!$C$23, $C$13, 100%, $E$13)</f>
        <v>13.979900000000001</v>
      </c>
      <c r="H749" s="67">
        <f>25.8374* CHOOSE(CONTROL!$C$23, $C$13, 100%, $E$13)</f>
        <v>25.837399999999999</v>
      </c>
      <c r="I749" s="67">
        <f>25.8421 * CHOOSE(CONTROL!$C$23, $C$13, 100%, $E$13)</f>
        <v>25.842099999999999</v>
      </c>
      <c r="J749" s="67">
        <f>13.9752 * CHOOSE(CONTROL!$C$23, $C$13, 100%, $E$13)</f>
        <v>13.975199999999999</v>
      </c>
      <c r="K749" s="67">
        <f>13.9799 * CHOOSE(CONTROL!$C$23, $C$13, 100%, $E$13)</f>
        <v>13.979900000000001</v>
      </c>
    </row>
    <row r="750" spans="1:11" ht="15">
      <c r="A750" s="13">
        <v>63951</v>
      </c>
      <c r="B750" s="66">
        <f>12.1911 * CHOOSE(CONTROL!$C$23, $C$13, 100%, $E$13)</f>
        <v>12.1911</v>
      </c>
      <c r="C750" s="66">
        <f>12.1911 * CHOOSE(CONTROL!$C$23, $C$13, 100%, $E$13)</f>
        <v>12.1911</v>
      </c>
      <c r="D750" s="66">
        <f>12.195 * CHOOSE(CONTROL!$C$23, $C$13, 100%, $E$13)</f>
        <v>12.195</v>
      </c>
      <c r="E750" s="67">
        <f>13.728 * CHOOSE(CONTROL!$C$23, $C$13, 100%, $E$13)</f>
        <v>13.728</v>
      </c>
      <c r="F750" s="67">
        <f>13.728 * CHOOSE(CONTROL!$C$23, $C$13, 100%, $E$13)</f>
        <v>13.728</v>
      </c>
      <c r="G750" s="67">
        <f>13.7327 * CHOOSE(CONTROL!$C$23, $C$13, 100%, $E$13)</f>
        <v>13.732699999999999</v>
      </c>
      <c r="H750" s="67">
        <f>25.8912* CHOOSE(CONTROL!$C$23, $C$13, 100%, $E$13)</f>
        <v>25.891200000000001</v>
      </c>
      <c r="I750" s="67">
        <f>25.896 * CHOOSE(CONTROL!$C$23, $C$13, 100%, $E$13)</f>
        <v>25.896000000000001</v>
      </c>
      <c r="J750" s="67">
        <f>13.728 * CHOOSE(CONTROL!$C$23, $C$13, 100%, $E$13)</f>
        <v>13.728</v>
      </c>
      <c r="K750" s="67">
        <f>13.7327 * CHOOSE(CONTROL!$C$23, $C$13, 100%, $E$13)</f>
        <v>13.732699999999999</v>
      </c>
    </row>
    <row r="751" spans="1:11" ht="15">
      <c r="A751" s="13">
        <v>63979</v>
      </c>
      <c r="B751" s="66">
        <f>12.1881 * CHOOSE(CONTROL!$C$23, $C$13, 100%, $E$13)</f>
        <v>12.1881</v>
      </c>
      <c r="C751" s="66">
        <f>12.1881 * CHOOSE(CONTROL!$C$23, $C$13, 100%, $E$13)</f>
        <v>12.1881</v>
      </c>
      <c r="D751" s="66">
        <f>12.192 * CHOOSE(CONTROL!$C$23, $C$13, 100%, $E$13)</f>
        <v>12.192</v>
      </c>
      <c r="E751" s="67">
        <f>13.9191 * CHOOSE(CONTROL!$C$23, $C$13, 100%, $E$13)</f>
        <v>13.9191</v>
      </c>
      <c r="F751" s="67">
        <f>13.9191 * CHOOSE(CONTROL!$C$23, $C$13, 100%, $E$13)</f>
        <v>13.9191</v>
      </c>
      <c r="G751" s="67">
        <f>13.9238 * CHOOSE(CONTROL!$C$23, $C$13, 100%, $E$13)</f>
        <v>13.9238</v>
      </c>
      <c r="H751" s="67">
        <f>25.9451* CHOOSE(CONTROL!$C$23, $C$13, 100%, $E$13)</f>
        <v>25.9451</v>
      </c>
      <c r="I751" s="67">
        <f>25.9499 * CHOOSE(CONTROL!$C$23, $C$13, 100%, $E$13)</f>
        <v>25.9499</v>
      </c>
      <c r="J751" s="67">
        <f>13.9191 * CHOOSE(CONTROL!$C$23, $C$13, 100%, $E$13)</f>
        <v>13.9191</v>
      </c>
      <c r="K751" s="67">
        <f>13.9238 * CHOOSE(CONTROL!$C$23, $C$13, 100%, $E$13)</f>
        <v>13.9238</v>
      </c>
    </row>
    <row r="752" spans="1:11" ht="15">
      <c r="A752" s="13">
        <v>64010</v>
      </c>
      <c r="B752" s="66">
        <f>12.1926 * CHOOSE(CONTROL!$C$23, $C$13, 100%, $E$13)</f>
        <v>12.192600000000001</v>
      </c>
      <c r="C752" s="66">
        <f>12.1926 * CHOOSE(CONTROL!$C$23, $C$13, 100%, $E$13)</f>
        <v>12.192600000000001</v>
      </c>
      <c r="D752" s="66">
        <f>12.1965 * CHOOSE(CONTROL!$C$23, $C$13, 100%, $E$13)</f>
        <v>12.1965</v>
      </c>
      <c r="E752" s="67">
        <f>14.1223 * CHOOSE(CONTROL!$C$23, $C$13, 100%, $E$13)</f>
        <v>14.122299999999999</v>
      </c>
      <c r="F752" s="67">
        <f>14.1223 * CHOOSE(CONTROL!$C$23, $C$13, 100%, $E$13)</f>
        <v>14.122299999999999</v>
      </c>
      <c r="G752" s="67">
        <f>14.1271 * CHOOSE(CONTROL!$C$23, $C$13, 100%, $E$13)</f>
        <v>14.1271</v>
      </c>
      <c r="H752" s="67">
        <f>25.9992* CHOOSE(CONTROL!$C$23, $C$13, 100%, $E$13)</f>
        <v>25.999199999999998</v>
      </c>
      <c r="I752" s="67">
        <f>26.004 * CHOOSE(CONTROL!$C$23, $C$13, 100%, $E$13)</f>
        <v>26.004000000000001</v>
      </c>
      <c r="J752" s="67">
        <f>14.1223 * CHOOSE(CONTROL!$C$23, $C$13, 100%, $E$13)</f>
        <v>14.122299999999999</v>
      </c>
      <c r="K752" s="67">
        <f>14.1271 * CHOOSE(CONTROL!$C$23, $C$13, 100%, $E$13)</f>
        <v>14.1271</v>
      </c>
    </row>
    <row r="753" spans="1:11" ht="15">
      <c r="A753" s="13">
        <v>64040</v>
      </c>
      <c r="B753" s="66">
        <f>12.1926 * CHOOSE(CONTROL!$C$23, $C$13, 100%, $E$13)</f>
        <v>12.192600000000001</v>
      </c>
      <c r="C753" s="66">
        <f>12.1926 * CHOOSE(CONTROL!$C$23, $C$13, 100%, $E$13)</f>
        <v>12.192600000000001</v>
      </c>
      <c r="D753" s="66">
        <f>12.1981 * CHOOSE(CONTROL!$C$23, $C$13, 100%, $E$13)</f>
        <v>12.1981</v>
      </c>
      <c r="E753" s="67">
        <f>14.2001 * CHOOSE(CONTROL!$C$23, $C$13, 100%, $E$13)</f>
        <v>14.200100000000001</v>
      </c>
      <c r="F753" s="67">
        <f>14.2001 * CHOOSE(CONTROL!$C$23, $C$13, 100%, $E$13)</f>
        <v>14.200100000000001</v>
      </c>
      <c r="G753" s="67">
        <f>14.2069 * CHOOSE(CONTROL!$C$23, $C$13, 100%, $E$13)</f>
        <v>14.206899999999999</v>
      </c>
      <c r="H753" s="67">
        <f>26.0533* CHOOSE(CONTROL!$C$23, $C$13, 100%, $E$13)</f>
        <v>26.0533</v>
      </c>
      <c r="I753" s="67">
        <f>26.0601 * CHOOSE(CONTROL!$C$23, $C$13, 100%, $E$13)</f>
        <v>26.060099999999998</v>
      </c>
      <c r="J753" s="67">
        <f>14.2001 * CHOOSE(CONTROL!$C$23, $C$13, 100%, $E$13)</f>
        <v>14.200100000000001</v>
      </c>
      <c r="K753" s="67">
        <f>14.2069 * CHOOSE(CONTROL!$C$23, $C$13, 100%, $E$13)</f>
        <v>14.206899999999999</v>
      </c>
    </row>
    <row r="754" spans="1:11" ht="15">
      <c r="A754" s="13">
        <v>64071</v>
      </c>
      <c r="B754" s="66">
        <f>12.1987 * CHOOSE(CONTROL!$C$23, $C$13, 100%, $E$13)</f>
        <v>12.198700000000001</v>
      </c>
      <c r="C754" s="66">
        <f>12.1987 * CHOOSE(CONTROL!$C$23, $C$13, 100%, $E$13)</f>
        <v>12.198700000000001</v>
      </c>
      <c r="D754" s="66">
        <f>12.2042 * CHOOSE(CONTROL!$C$23, $C$13, 100%, $E$13)</f>
        <v>12.2042</v>
      </c>
      <c r="E754" s="67">
        <f>14.1266 * CHOOSE(CONTROL!$C$23, $C$13, 100%, $E$13)</f>
        <v>14.1266</v>
      </c>
      <c r="F754" s="67">
        <f>14.1266 * CHOOSE(CONTROL!$C$23, $C$13, 100%, $E$13)</f>
        <v>14.1266</v>
      </c>
      <c r="G754" s="67">
        <f>14.1333 * CHOOSE(CONTROL!$C$23, $C$13, 100%, $E$13)</f>
        <v>14.1333</v>
      </c>
      <c r="H754" s="67">
        <f>26.1076* CHOOSE(CONTROL!$C$23, $C$13, 100%, $E$13)</f>
        <v>26.107600000000001</v>
      </c>
      <c r="I754" s="67">
        <f>26.1144 * CHOOSE(CONTROL!$C$23, $C$13, 100%, $E$13)</f>
        <v>26.1144</v>
      </c>
      <c r="J754" s="67">
        <f>14.1266 * CHOOSE(CONTROL!$C$23, $C$13, 100%, $E$13)</f>
        <v>14.1266</v>
      </c>
      <c r="K754" s="67">
        <f>14.1333 * CHOOSE(CONTROL!$C$23, $C$13, 100%, $E$13)</f>
        <v>14.1333</v>
      </c>
    </row>
    <row r="755" spans="1:11" ht="15">
      <c r="A755" s="13">
        <v>64101</v>
      </c>
      <c r="B755" s="66">
        <f>12.385 * CHOOSE(CONTROL!$C$23, $C$13, 100%, $E$13)</f>
        <v>12.385</v>
      </c>
      <c r="C755" s="66">
        <f>12.385 * CHOOSE(CONTROL!$C$23, $C$13, 100%, $E$13)</f>
        <v>12.385</v>
      </c>
      <c r="D755" s="66">
        <f>12.3905 * CHOOSE(CONTROL!$C$23, $C$13, 100%, $E$13)</f>
        <v>12.390499999999999</v>
      </c>
      <c r="E755" s="67">
        <f>14.3527 * CHOOSE(CONTROL!$C$23, $C$13, 100%, $E$13)</f>
        <v>14.3527</v>
      </c>
      <c r="F755" s="67">
        <f>14.3527 * CHOOSE(CONTROL!$C$23, $C$13, 100%, $E$13)</f>
        <v>14.3527</v>
      </c>
      <c r="G755" s="67">
        <f>14.3594 * CHOOSE(CONTROL!$C$23, $C$13, 100%, $E$13)</f>
        <v>14.359400000000001</v>
      </c>
      <c r="H755" s="67">
        <f>26.162* CHOOSE(CONTROL!$C$23, $C$13, 100%, $E$13)</f>
        <v>26.161999999999999</v>
      </c>
      <c r="I755" s="67">
        <f>26.1688 * CHOOSE(CONTROL!$C$23, $C$13, 100%, $E$13)</f>
        <v>26.168800000000001</v>
      </c>
      <c r="J755" s="67">
        <f>14.3527 * CHOOSE(CONTROL!$C$23, $C$13, 100%, $E$13)</f>
        <v>14.3527</v>
      </c>
      <c r="K755" s="67">
        <f>14.3594 * CHOOSE(CONTROL!$C$23, $C$13, 100%, $E$13)</f>
        <v>14.359400000000001</v>
      </c>
    </row>
    <row r="756" spans="1:11" ht="15">
      <c r="A756" s="13">
        <v>64132</v>
      </c>
      <c r="B756" s="66">
        <f>12.3917 * CHOOSE(CONTROL!$C$23, $C$13, 100%, $E$13)</f>
        <v>12.3917</v>
      </c>
      <c r="C756" s="66">
        <f>12.3917 * CHOOSE(CONTROL!$C$23, $C$13, 100%, $E$13)</f>
        <v>12.3917</v>
      </c>
      <c r="D756" s="66">
        <f>12.3972 * CHOOSE(CONTROL!$C$23, $C$13, 100%, $E$13)</f>
        <v>12.3972</v>
      </c>
      <c r="E756" s="67">
        <f>14.1239 * CHOOSE(CONTROL!$C$23, $C$13, 100%, $E$13)</f>
        <v>14.123900000000001</v>
      </c>
      <c r="F756" s="67">
        <f>14.1239 * CHOOSE(CONTROL!$C$23, $C$13, 100%, $E$13)</f>
        <v>14.123900000000001</v>
      </c>
      <c r="G756" s="67">
        <f>14.1307 * CHOOSE(CONTROL!$C$23, $C$13, 100%, $E$13)</f>
        <v>14.130699999999999</v>
      </c>
      <c r="H756" s="67">
        <f>26.2165* CHOOSE(CONTROL!$C$23, $C$13, 100%, $E$13)</f>
        <v>26.2165</v>
      </c>
      <c r="I756" s="67">
        <f>26.2233 * CHOOSE(CONTROL!$C$23, $C$13, 100%, $E$13)</f>
        <v>26.223299999999998</v>
      </c>
      <c r="J756" s="67">
        <f>14.1239 * CHOOSE(CONTROL!$C$23, $C$13, 100%, $E$13)</f>
        <v>14.123900000000001</v>
      </c>
      <c r="K756" s="67">
        <f>14.1307 * CHOOSE(CONTROL!$C$23, $C$13, 100%, $E$13)</f>
        <v>14.130699999999999</v>
      </c>
    </row>
    <row r="757" spans="1:11" ht="15">
      <c r="A757" s="13">
        <v>64163</v>
      </c>
      <c r="B757" s="66">
        <f>12.3886 * CHOOSE(CONTROL!$C$23, $C$13, 100%, $E$13)</f>
        <v>12.3886</v>
      </c>
      <c r="C757" s="66">
        <f>12.3886 * CHOOSE(CONTROL!$C$23, $C$13, 100%, $E$13)</f>
        <v>12.3886</v>
      </c>
      <c r="D757" s="66">
        <f>12.3941 * CHOOSE(CONTROL!$C$23, $C$13, 100%, $E$13)</f>
        <v>12.3941</v>
      </c>
      <c r="E757" s="67">
        <f>14.0959 * CHOOSE(CONTROL!$C$23, $C$13, 100%, $E$13)</f>
        <v>14.0959</v>
      </c>
      <c r="F757" s="67">
        <f>14.0959 * CHOOSE(CONTROL!$C$23, $C$13, 100%, $E$13)</f>
        <v>14.0959</v>
      </c>
      <c r="G757" s="67">
        <f>14.1026 * CHOOSE(CONTROL!$C$23, $C$13, 100%, $E$13)</f>
        <v>14.102600000000001</v>
      </c>
      <c r="H757" s="67">
        <f>26.2711* CHOOSE(CONTROL!$C$23, $C$13, 100%, $E$13)</f>
        <v>26.271100000000001</v>
      </c>
      <c r="I757" s="67">
        <f>26.2779 * CHOOSE(CONTROL!$C$23, $C$13, 100%, $E$13)</f>
        <v>26.277899999999999</v>
      </c>
      <c r="J757" s="67">
        <f>14.0959 * CHOOSE(CONTROL!$C$23, $C$13, 100%, $E$13)</f>
        <v>14.0959</v>
      </c>
      <c r="K757" s="67">
        <f>14.1026 * CHOOSE(CONTROL!$C$23, $C$13, 100%, $E$13)</f>
        <v>14.102600000000001</v>
      </c>
    </row>
    <row r="758" spans="1:11" ht="15">
      <c r="A758" s="13">
        <v>64193</v>
      </c>
      <c r="B758" s="66">
        <f>12.4108 * CHOOSE(CONTROL!$C$23, $C$13, 100%, $E$13)</f>
        <v>12.4108</v>
      </c>
      <c r="C758" s="66">
        <f>12.4108 * CHOOSE(CONTROL!$C$23, $C$13, 100%, $E$13)</f>
        <v>12.4108</v>
      </c>
      <c r="D758" s="66">
        <f>12.4146 * CHOOSE(CONTROL!$C$23, $C$13, 100%, $E$13)</f>
        <v>12.4146</v>
      </c>
      <c r="E758" s="67">
        <f>14.1862 * CHOOSE(CONTROL!$C$23, $C$13, 100%, $E$13)</f>
        <v>14.186199999999999</v>
      </c>
      <c r="F758" s="67">
        <f>14.1862 * CHOOSE(CONTROL!$C$23, $C$13, 100%, $E$13)</f>
        <v>14.186199999999999</v>
      </c>
      <c r="G758" s="67">
        <f>14.191 * CHOOSE(CONTROL!$C$23, $C$13, 100%, $E$13)</f>
        <v>14.191000000000001</v>
      </c>
      <c r="H758" s="67">
        <f>26.3259* CHOOSE(CONTROL!$C$23, $C$13, 100%, $E$13)</f>
        <v>26.325900000000001</v>
      </c>
      <c r="I758" s="67">
        <f>26.3306 * CHOOSE(CONTROL!$C$23, $C$13, 100%, $E$13)</f>
        <v>26.3306</v>
      </c>
      <c r="J758" s="67">
        <f>14.1862 * CHOOSE(CONTROL!$C$23, $C$13, 100%, $E$13)</f>
        <v>14.186199999999999</v>
      </c>
      <c r="K758" s="67">
        <f>14.191 * CHOOSE(CONTROL!$C$23, $C$13, 100%, $E$13)</f>
        <v>14.191000000000001</v>
      </c>
    </row>
    <row r="759" spans="1:11" ht="15">
      <c r="A759" s="13">
        <v>64224</v>
      </c>
      <c r="B759" s="66">
        <f>12.4138 * CHOOSE(CONTROL!$C$23, $C$13, 100%, $E$13)</f>
        <v>12.4138</v>
      </c>
      <c r="C759" s="66">
        <f>12.4138 * CHOOSE(CONTROL!$C$23, $C$13, 100%, $E$13)</f>
        <v>12.4138</v>
      </c>
      <c r="D759" s="66">
        <f>12.4177 * CHOOSE(CONTROL!$C$23, $C$13, 100%, $E$13)</f>
        <v>12.4177</v>
      </c>
      <c r="E759" s="67">
        <f>14.2402 * CHOOSE(CONTROL!$C$23, $C$13, 100%, $E$13)</f>
        <v>14.2402</v>
      </c>
      <c r="F759" s="67">
        <f>14.2402 * CHOOSE(CONTROL!$C$23, $C$13, 100%, $E$13)</f>
        <v>14.2402</v>
      </c>
      <c r="G759" s="67">
        <f>14.245 * CHOOSE(CONTROL!$C$23, $C$13, 100%, $E$13)</f>
        <v>14.244999999999999</v>
      </c>
      <c r="H759" s="67">
        <f>26.3807* CHOOSE(CONTROL!$C$23, $C$13, 100%, $E$13)</f>
        <v>26.380700000000001</v>
      </c>
      <c r="I759" s="67">
        <f>26.3855 * CHOOSE(CONTROL!$C$23, $C$13, 100%, $E$13)</f>
        <v>26.3855</v>
      </c>
      <c r="J759" s="67">
        <f>14.2402 * CHOOSE(CONTROL!$C$23, $C$13, 100%, $E$13)</f>
        <v>14.2402</v>
      </c>
      <c r="K759" s="67">
        <f>14.245 * CHOOSE(CONTROL!$C$23, $C$13, 100%, $E$13)</f>
        <v>14.244999999999999</v>
      </c>
    </row>
    <row r="760" spans="1:11" ht="15">
      <c r="A760" s="13">
        <v>64254</v>
      </c>
      <c r="B760" s="66">
        <f>12.4138 * CHOOSE(CONTROL!$C$23, $C$13, 100%, $E$13)</f>
        <v>12.4138</v>
      </c>
      <c r="C760" s="66">
        <f>12.4138 * CHOOSE(CONTROL!$C$23, $C$13, 100%, $E$13)</f>
        <v>12.4138</v>
      </c>
      <c r="D760" s="66">
        <f>12.4177 * CHOOSE(CONTROL!$C$23, $C$13, 100%, $E$13)</f>
        <v>12.4177</v>
      </c>
      <c r="E760" s="67">
        <f>14.1105 * CHOOSE(CONTROL!$C$23, $C$13, 100%, $E$13)</f>
        <v>14.1105</v>
      </c>
      <c r="F760" s="67">
        <f>14.1105 * CHOOSE(CONTROL!$C$23, $C$13, 100%, $E$13)</f>
        <v>14.1105</v>
      </c>
      <c r="G760" s="67">
        <f>14.1153 * CHOOSE(CONTROL!$C$23, $C$13, 100%, $E$13)</f>
        <v>14.1153</v>
      </c>
      <c r="H760" s="67">
        <f>26.4357* CHOOSE(CONTROL!$C$23, $C$13, 100%, $E$13)</f>
        <v>26.435700000000001</v>
      </c>
      <c r="I760" s="67">
        <f>26.4404 * CHOOSE(CONTROL!$C$23, $C$13, 100%, $E$13)</f>
        <v>26.4404</v>
      </c>
      <c r="J760" s="67">
        <f>14.1105 * CHOOSE(CONTROL!$C$23, $C$13, 100%, $E$13)</f>
        <v>14.1105</v>
      </c>
      <c r="K760" s="67">
        <f>14.1153 * CHOOSE(CONTROL!$C$23, $C$13, 100%, $E$13)</f>
        <v>14.1153</v>
      </c>
    </row>
    <row r="761" spans="1:11" ht="15">
      <c r="A761" s="13">
        <v>64285</v>
      </c>
      <c r="B761" s="66">
        <f>12.4297 * CHOOSE(CONTROL!$C$23, $C$13, 100%, $E$13)</f>
        <v>12.4297</v>
      </c>
      <c r="C761" s="66">
        <f>12.4297 * CHOOSE(CONTROL!$C$23, $C$13, 100%, $E$13)</f>
        <v>12.4297</v>
      </c>
      <c r="D761" s="66">
        <f>12.4336 * CHOOSE(CONTROL!$C$23, $C$13, 100%, $E$13)</f>
        <v>12.4336</v>
      </c>
      <c r="E761" s="67">
        <f>14.2299 * CHOOSE(CONTROL!$C$23, $C$13, 100%, $E$13)</f>
        <v>14.229900000000001</v>
      </c>
      <c r="F761" s="67">
        <f>14.2299 * CHOOSE(CONTROL!$C$23, $C$13, 100%, $E$13)</f>
        <v>14.229900000000001</v>
      </c>
      <c r="G761" s="67">
        <f>14.2347 * CHOOSE(CONTROL!$C$23, $C$13, 100%, $E$13)</f>
        <v>14.2347</v>
      </c>
      <c r="H761" s="67">
        <f>26.3199* CHOOSE(CONTROL!$C$23, $C$13, 100%, $E$13)</f>
        <v>26.319900000000001</v>
      </c>
      <c r="I761" s="67">
        <f>26.3247 * CHOOSE(CONTROL!$C$23, $C$13, 100%, $E$13)</f>
        <v>26.3247</v>
      </c>
      <c r="J761" s="67">
        <f>14.2299 * CHOOSE(CONTROL!$C$23, $C$13, 100%, $E$13)</f>
        <v>14.229900000000001</v>
      </c>
      <c r="K761" s="67">
        <f>14.2347 * CHOOSE(CONTROL!$C$23, $C$13, 100%, $E$13)</f>
        <v>14.2347</v>
      </c>
    </row>
    <row r="762" spans="1:11" ht="15">
      <c r="A762" s="13">
        <v>64316</v>
      </c>
      <c r="B762" s="66">
        <f>12.4267 * CHOOSE(CONTROL!$C$23, $C$13, 100%, $E$13)</f>
        <v>12.4267</v>
      </c>
      <c r="C762" s="66">
        <f>12.4267 * CHOOSE(CONTROL!$C$23, $C$13, 100%, $E$13)</f>
        <v>12.4267</v>
      </c>
      <c r="D762" s="66">
        <f>12.4306 * CHOOSE(CONTROL!$C$23, $C$13, 100%, $E$13)</f>
        <v>12.4306</v>
      </c>
      <c r="E762" s="67">
        <f>13.9777 * CHOOSE(CONTROL!$C$23, $C$13, 100%, $E$13)</f>
        <v>13.9777</v>
      </c>
      <c r="F762" s="67">
        <f>13.9777 * CHOOSE(CONTROL!$C$23, $C$13, 100%, $E$13)</f>
        <v>13.9777</v>
      </c>
      <c r="G762" s="67">
        <f>13.9825 * CHOOSE(CONTROL!$C$23, $C$13, 100%, $E$13)</f>
        <v>13.9825</v>
      </c>
      <c r="H762" s="67">
        <f>26.3747* CHOOSE(CONTROL!$C$23, $C$13, 100%, $E$13)</f>
        <v>26.374700000000001</v>
      </c>
      <c r="I762" s="67">
        <f>26.3795 * CHOOSE(CONTROL!$C$23, $C$13, 100%, $E$13)</f>
        <v>26.3795</v>
      </c>
      <c r="J762" s="67">
        <f>13.9777 * CHOOSE(CONTROL!$C$23, $C$13, 100%, $E$13)</f>
        <v>13.9777</v>
      </c>
      <c r="K762" s="67">
        <f>13.9825 * CHOOSE(CONTROL!$C$23, $C$13, 100%, $E$13)</f>
        <v>13.9825</v>
      </c>
    </row>
    <row r="763" spans="1:11" ht="15">
      <c r="A763" s="13">
        <v>64345</v>
      </c>
      <c r="B763" s="66">
        <f>12.4237 * CHOOSE(CONTROL!$C$23, $C$13, 100%, $E$13)</f>
        <v>12.4237</v>
      </c>
      <c r="C763" s="66">
        <f>12.4237 * CHOOSE(CONTROL!$C$23, $C$13, 100%, $E$13)</f>
        <v>12.4237</v>
      </c>
      <c r="D763" s="66">
        <f>12.4275 * CHOOSE(CONTROL!$C$23, $C$13, 100%, $E$13)</f>
        <v>12.4275</v>
      </c>
      <c r="E763" s="67">
        <f>14.1727 * CHOOSE(CONTROL!$C$23, $C$13, 100%, $E$13)</f>
        <v>14.172700000000001</v>
      </c>
      <c r="F763" s="67">
        <f>14.1727 * CHOOSE(CONTROL!$C$23, $C$13, 100%, $E$13)</f>
        <v>14.172700000000001</v>
      </c>
      <c r="G763" s="67">
        <f>14.1775 * CHOOSE(CONTROL!$C$23, $C$13, 100%, $E$13)</f>
        <v>14.1775</v>
      </c>
      <c r="H763" s="67">
        <f>26.4297* CHOOSE(CONTROL!$C$23, $C$13, 100%, $E$13)</f>
        <v>26.4297</v>
      </c>
      <c r="I763" s="67">
        <f>26.4345 * CHOOSE(CONTROL!$C$23, $C$13, 100%, $E$13)</f>
        <v>26.4345</v>
      </c>
      <c r="J763" s="67">
        <f>14.1727 * CHOOSE(CONTROL!$C$23, $C$13, 100%, $E$13)</f>
        <v>14.172700000000001</v>
      </c>
      <c r="K763" s="67">
        <f>14.1775 * CHOOSE(CONTROL!$C$23, $C$13, 100%, $E$13)</f>
        <v>14.1775</v>
      </c>
    </row>
    <row r="764" spans="1:11" ht="15">
      <c r="A764" s="13">
        <v>64376</v>
      </c>
      <c r="B764" s="66">
        <f>12.4284 * CHOOSE(CONTROL!$C$23, $C$13, 100%, $E$13)</f>
        <v>12.4284</v>
      </c>
      <c r="C764" s="66">
        <f>12.4284 * CHOOSE(CONTROL!$C$23, $C$13, 100%, $E$13)</f>
        <v>12.4284</v>
      </c>
      <c r="D764" s="66">
        <f>12.4323 * CHOOSE(CONTROL!$C$23, $C$13, 100%, $E$13)</f>
        <v>12.4323</v>
      </c>
      <c r="E764" s="67">
        <f>14.3802 * CHOOSE(CONTROL!$C$23, $C$13, 100%, $E$13)</f>
        <v>14.3802</v>
      </c>
      <c r="F764" s="67">
        <f>14.3802 * CHOOSE(CONTROL!$C$23, $C$13, 100%, $E$13)</f>
        <v>14.3802</v>
      </c>
      <c r="G764" s="67">
        <f>14.3849 * CHOOSE(CONTROL!$C$23, $C$13, 100%, $E$13)</f>
        <v>14.3849</v>
      </c>
      <c r="H764" s="67">
        <f>26.4848* CHOOSE(CONTROL!$C$23, $C$13, 100%, $E$13)</f>
        <v>26.4848</v>
      </c>
      <c r="I764" s="67">
        <f>26.4895 * CHOOSE(CONTROL!$C$23, $C$13, 100%, $E$13)</f>
        <v>26.4895</v>
      </c>
      <c r="J764" s="67">
        <f>14.3802 * CHOOSE(CONTROL!$C$23, $C$13, 100%, $E$13)</f>
        <v>14.3802</v>
      </c>
      <c r="K764" s="67">
        <f>14.3849 * CHOOSE(CONTROL!$C$23, $C$13, 100%, $E$13)</f>
        <v>14.3849</v>
      </c>
    </row>
    <row r="765" spans="1:11" ht="15">
      <c r="A765" s="13">
        <v>64406</v>
      </c>
      <c r="B765" s="66">
        <f>12.4284 * CHOOSE(CONTROL!$C$23, $C$13, 100%, $E$13)</f>
        <v>12.4284</v>
      </c>
      <c r="C765" s="66">
        <f>12.4284 * CHOOSE(CONTROL!$C$23, $C$13, 100%, $E$13)</f>
        <v>12.4284</v>
      </c>
      <c r="D765" s="66">
        <f>12.4339 * CHOOSE(CONTROL!$C$23, $C$13, 100%, $E$13)</f>
        <v>12.4339</v>
      </c>
      <c r="E765" s="67">
        <f>14.4596 * CHOOSE(CONTROL!$C$23, $C$13, 100%, $E$13)</f>
        <v>14.4596</v>
      </c>
      <c r="F765" s="67">
        <f>14.4596 * CHOOSE(CONTROL!$C$23, $C$13, 100%, $E$13)</f>
        <v>14.4596</v>
      </c>
      <c r="G765" s="67">
        <f>14.4663 * CHOOSE(CONTROL!$C$23, $C$13, 100%, $E$13)</f>
        <v>14.4663</v>
      </c>
      <c r="H765" s="67">
        <f>26.5399* CHOOSE(CONTROL!$C$23, $C$13, 100%, $E$13)</f>
        <v>26.539899999999999</v>
      </c>
      <c r="I765" s="67">
        <f>26.5467 * CHOOSE(CONTROL!$C$23, $C$13, 100%, $E$13)</f>
        <v>26.546700000000001</v>
      </c>
      <c r="J765" s="67">
        <f>14.4596 * CHOOSE(CONTROL!$C$23, $C$13, 100%, $E$13)</f>
        <v>14.4596</v>
      </c>
      <c r="K765" s="67">
        <f>14.4663 * CHOOSE(CONTROL!$C$23, $C$13, 100%, $E$13)</f>
        <v>14.4663</v>
      </c>
    </row>
    <row r="766" spans="1:11" ht="15">
      <c r="A766" s="13">
        <v>64437</v>
      </c>
      <c r="B766" s="66">
        <f>12.4345 * CHOOSE(CONTROL!$C$23, $C$13, 100%, $E$13)</f>
        <v>12.4345</v>
      </c>
      <c r="C766" s="66">
        <f>12.4345 * CHOOSE(CONTROL!$C$23, $C$13, 100%, $E$13)</f>
        <v>12.4345</v>
      </c>
      <c r="D766" s="66">
        <f>12.44 * CHOOSE(CONTROL!$C$23, $C$13, 100%, $E$13)</f>
        <v>12.44</v>
      </c>
      <c r="E766" s="67">
        <f>14.3844 * CHOOSE(CONTROL!$C$23, $C$13, 100%, $E$13)</f>
        <v>14.384399999999999</v>
      </c>
      <c r="F766" s="67">
        <f>14.3844 * CHOOSE(CONTROL!$C$23, $C$13, 100%, $E$13)</f>
        <v>14.384399999999999</v>
      </c>
      <c r="G766" s="67">
        <f>14.3912 * CHOOSE(CONTROL!$C$23, $C$13, 100%, $E$13)</f>
        <v>14.3912</v>
      </c>
      <c r="H766" s="67">
        <f>26.5952* CHOOSE(CONTROL!$C$23, $C$13, 100%, $E$13)</f>
        <v>26.595199999999998</v>
      </c>
      <c r="I766" s="67">
        <f>26.602 * CHOOSE(CONTROL!$C$23, $C$13, 100%, $E$13)</f>
        <v>26.602</v>
      </c>
      <c r="J766" s="67">
        <f>14.3844 * CHOOSE(CONTROL!$C$23, $C$13, 100%, $E$13)</f>
        <v>14.384399999999999</v>
      </c>
      <c r="K766" s="67">
        <f>14.3912 * CHOOSE(CONTROL!$C$23, $C$13, 100%, $E$13)</f>
        <v>14.3912</v>
      </c>
    </row>
    <row r="767" spans="1:11" ht="15">
      <c r="A767" s="13">
        <v>64467</v>
      </c>
      <c r="B767" s="66">
        <f>12.6242 * CHOOSE(CONTROL!$C$23, $C$13, 100%, $E$13)</f>
        <v>12.6242</v>
      </c>
      <c r="C767" s="66">
        <f>12.6242 * CHOOSE(CONTROL!$C$23, $C$13, 100%, $E$13)</f>
        <v>12.6242</v>
      </c>
      <c r="D767" s="66">
        <f>12.6297 * CHOOSE(CONTROL!$C$23, $C$13, 100%, $E$13)</f>
        <v>12.6297</v>
      </c>
      <c r="E767" s="67">
        <f>14.6145 * CHOOSE(CONTROL!$C$23, $C$13, 100%, $E$13)</f>
        <v>14.6145</v>
      </c>
      <c r="F767" s="67">
        <f>14.6145 * CHOOSE(CONTROL!$C$23, $C$13, 100%, $E$13)</f>
        <v>14.6145</v>
      </c>
      <c r="G767" s="67">
        <f>14.6212 * CHOOSE(CONTROL!$C$23, $C$13, 100%, $E$13)</f>
        <v>14.6212</v>
      </c>
      <c r="H767" s="67">
        <f>26.6506* CHOOSE(CONTROL!$C$23, $C$13, 100%, $E$13)</f>
        <v>26.650600000000001</v>
      </c>
      <c r="I767" s="67">
        <f>26.6574 * CHOOSE(CONTROL!$C$23, $C$13, 100%, $E$13)</f>
        <v>26.657399999999999</v>
      </c>
      <c r="J767" s="67">
        <f>14.6145 * CHOOSE(CONTROL!$C$23, $C$13, 100%, $E$13)</f>
        <v>14.6145</v>
      </c>
      <c r="K767" s="67">
        <f>14.6212 * CHOOSE(CONTROL!$C$23, $C$13, 100%, $E$13)</f>
        <v>14.6212</v>
      </c>
    </row>
    <row r="768" spans="1:11" ht="15">
      <c r="A768" s="13">
        <v>64498</v>
      </c>
      <c r="B768" s="66">
        <f>12.6309 * CHOOSE(CONTROL!$C$23, $C$13, 100%, $E$13)</f>
        <v>12.6309</v>
      </c>
      <c r="C768" s="66">
        <f>12.6309 * CHOOSE(CONTROL!$C$23, $C$13, 100%, $E$13)</f>
        <v>12.6309</v>
      </c>
      <c r="D768" s="66">
        <f>12.6364 * CHOOSE(CONTROL!$C$23, $C$13, 100%, $E$13)</f>
        <v>12.6364</v>
      </c>
      <c r="E768" s="67">
        <f>14.381 * CHOOSE(CONTROL!$C$23, $C$13, 100%, $E$13)</f>
        <v>14.381</v>
      </c>
      <c r="F768" s="67">
        <f>14.381 * CHOOSE(CONTROL!$C$23, $C$13, 100%, $E$13)</f>
        <v>14.381</v>
      </c>
      <c r="G768" s="67">
        <f>14.3877 * CHOOSE(CONTROL!$C$23, $C$13, 100%, $E$13)</f>
        <v>14.387700000000001</v>
      </c>
      <c r="H768" s="67">
        <f>26.7061* CHOOSE(CONTROL!$C$23, $C$13, 100%, $E$13)</f>
        <v>26.706099999999999</v>
      </c>
      <c r="I768" s="67">
        <f>26.7129 * CHOOSE(CONTROL!$C$23, $C$13, 100%, $E$13)</f>
        <v>26.712900000000001</v>
      </c>
      <c r="J768" s="67">
        <f>14.381 * CHOOSE(CONTROL!$C$23, $C$13, 100%, $E$13)</f>
        <v>14.381</v>
      </c>
      <c r="K768" s="67">
        <f>14.3877 * CHOOSE(CONTROL!$C$23, $C$13, 100%, $E$13)</f>
        <v>14.387700000000001</v>
      </c>
    </row>
    <row r="769" spans="1:11" ht="15">
      <c r="A769" s="13">
        <v>64529</v>
      </c>
      <c r="B769" s="66">
        <f>12.6278 * CHOOSE(CONTROL!$C$23, $C$13, 100%, $E$13)</f>
        <v>12.627800000000001</v>
      </c>
      <c r="C769" s="66">
        <f>12.6278 * CHOOSE(CONTROL!$C$23, $C$13, 100%, $E$13)</f>
        <v>12.627800000000001</v>
      </c>
      <c r="D769" s="66">
        <f>12.6333 * CHOOSE(CONTROL!$C$23, $C$13, 100%, $E$13)</f>
        <v>12.6333</v>
      </c>
      <c r="E769" s="67">
        <f>14.3524 * CHOOSE(CONTROL!$C$23, $C$13, 100%, $E$13)</f>
        <v>14.352399999999999</v>
      </c>
      <c r="F769" s="67">
        <f>14.3524 * CHOOSE(CONTROL!$C$23, $C$13, 100%, $E$13)</f>
        <v>14.352399999999999</v>
      </c>
      <c r="G769" s="67">
        <f>14.3591 * CHOOSE(CONTROL!$C$23, $C$13, 100%, $E$13)</f>
        <v>14.3591</v>
      </c>
      <c r="H769" s="67">
        <f>26.7618* CHOOSE(CONTROL!$C$23, $C$13, 100%, $E$13)</f>
        <v>26.761800000000001</v>
      </c>
      <c r="I769" s="67">
        <f>26.7685 * CHOOSE(CONTROL!$C$23, $C$13, 100%, $E$13)</f>
        <v>26.7685</v>
      </c>
      <c r="J769" s="67">
        <f>14.3524 * CHOOSE(CONTROL!$C$23, $C$13, 100%, $E$13)</f>
        <v>14.352399999999999</v>
      </c>
      <c r="K769" s="67">
        <f>14.3591 * CHOOSE(CONTROL!$C$23, $C$13, 100%, $E$13)</f>
        <v>14.3591</v>
      </c>
    </row>
    <row r="770" spans="1:11" ht="15">
      <c r="A770" s="13">
        <v>64559</v>
      </c>
      <c r="B770" s="66">
        <f>12.6507 * CHOOSE(CONTROL!$C$23, $C$13, 100%, $E$13)</f>
        <v>12.650700000000001</v>
      </c>
      <c r="C770" s="66">
        <f>12.6507 * CHOOSE(CONTROL!$C$23, $C$13, 100%, $E$13)</f>
        <v>12.650700000000001</v>
      </c>
      <c r="D770" s="66">
        <f>12.6546 * CHOOSE(CONTROL!$C$23, $C$13, 100%, $E$13)</f>
        <v>12.6546</v>
      </c>
      <c r="E770" s="67">
        <f>14.4448 * CHOOSE(CONTROL!$C$23, $C$13, 100%, $E$13)</f>
        <v>14.444800000000001</v>
      </c>
      <c r="F770" s="67">
        <f>14.4448 * CHOOSE(CONTROL!$C$23, $C$13, 100%, $E$13)</f>
        <v>14.444800000000001</v>
      </c>
      <c r="G770" s="67">
        <f>14.4496 * CHOOSE(CONTROL!$C$23, $C$13, 100%, $E$13)</f>
        <v>14.4496</v>
      </c>
      <c r="H770" s="67">
        <f>26.8175* CHOOSE(CONTROL!$C$23, $C$13, 100%, $E$13)</f>
        <v>26.817499999999999</v>
      </c>
      <c r="I770" s="67">
        <f>26.8223 * CHOOSE(CONTROL!$C$23, $C$13, 100%, $E$13)</f>
        <v>26.822299999999998</v>
      </c>
      <c r="J770" s="67">
        <f>14.4448 * CHOOSE(CONTROL!$C$23, $C$13, 100%, $E$13)</f>
        <v>14.444800000000001</v>
      </c>
      <c r="K770" s="67">
        <f>14.4496 * CHOOSE(CONTROL!$C$23, $C$13, 100%, $E$13)</f>
        <v>14.4496</v>
      </c>
    </row>
    <row r="771" spans="1:11" ht="15">
      <c r="A771" s="13">
        <v>64590</v>
      </c>
      <c r="B771" s="66">
        <f>12.6538 * CHOOSE(CONTROL!$C$23, $C$13, 100%, $E$13)</f>
        <v>12.6538</v>
      </c>
      <c r="C771" s="66">
        <f>12.6538 * CHOOSE(CONTROL!$C$23, $C$13, 100%, $E$13)</f>
        <v>12.6538</v>
      </c>
      <c r="D771" s="66">
        <f>12.6576 * CHOOSE(CONTROL!$C$23, $C$13, 100%, $E$13)</f>
        <v>12.6576</v>
      </c>
      <c r="E771" s="67">
        <f>14.4999 * CHOOSE(CONTROL!$C$23, $C$13, 100%, $E$13)</f>
        <v>14.4999</v>
      </c>
      <c r="F771" s="67">
        <f>14.4999 * CHOOSE(CONTROL!$C$23, $C$13, 100%, $E$13)</f>
        <v>14.4999</v>
      </c>
      <c r="G771" s="67">
        <f>14.5046 * CHOOSE(CONTROL!$C$23, $C$13, 100%, $E$13)</f>
        <v>14.5046</v>
      </c>
      <c r="H771" s="67">
        <f>26.8734* CHOOSE(CONTROL!$C$23, $C$13, 100%, $E$13)</f>
        <v>26.8734</v>
      </c>
      <c r="I771" s="67">
        <f>26.8782 * CHOOSE(CONTROL!$C$23, $C$13, 100%, $E$13)</f>
        <v>26.8782</v>
      </c>
      <c r="J771" s="67">
        <f>14.4999 * CHOOSE(CONTROL!$C$23, $C$13, 100%, $E$13)</f>
        <v>14.4999</v>
      </c>
      <c r="K771" s="67">
        <f>14.5046 * CHOOSE(CONTROL!$C$23, $C$13, 100%, $E$13)</f>
        <v>14.5046</v>
      </c>
    </row>
    <row r="772" spans="1:11" ht="15">
      <c r="A772" s="13">
        <v>64620</v>
      </c>
      <c r="B772" s="66">
        <f>12.6538 * CHOOSE(CONTROL!$C$23, $C$13, 100%, $E$13)</f>
        <v>12.6538</v>
      </c>
      <c r="C772" s="66">
        <f>12.6538 * CHOOSE(CONTROL!$C$23, $C$13, 100%, $E$13)</f>
        <v>12.6538</v>
      </c>
      <c r="D772" s="66">
        <f>12.6576 * CHOOSE(CONTROL!$C$23, $C$13, 100%, $E$13)</f>
        <v>12.6576</v>
      </c>
      <c r="E772" s="67">
        <f>14.3676 * CHOOSE(CONTROL!$C$23, $C$13, 100%, $E$13)</f>
        <v>14.367599999999999</v>
      </c>
      <c r="F772" s="67">
        <f>14.3676 * CHOOSE(CONTROL!$C$23, $C$13, 100%, $E$13)</f>
        <v>14.367599999999999</v>
      </c>
      <c r="G772" s="67">
        <f>14.3723 * CHOOSE(CONTROL!$C$23, $C$13, 100%, $E$13)</f>
        <v>14.372299999999999</v>
      </c>
      <c r="H772" s="67">
        <f>26.9294* CHOOSE(CONTROL!$C$23, $C$13, 100%, $E$13)</f>
        <v>26.929400000000001</v>
      </c>
      <c r="I772" s="67">
        <f>26.9342 * CHOOSE(CONTROL!$C$23, $C$13, 100%, $E$13)</f>
        <v>26.934200000000001</v>
      </c>
      <c r="J772" s="67">
        <f>14.3676 * CHOOSE(CONTROL!$C$23, $C$13, 100%, $E$13)</f>
        <v>14.367599999999999</v>
      </c>
      <c r="K772" s="67">
        <f>14.3723 * CHOOSE(CONTROL!$C$23, $C$13, 100%, $E$13)</f>
        <v>14.372299999999999</v>
      </c>
    </row>
    <row r="773" spans="1:11" ht="15">
      <c r="A773" s="13">
        <v>64651</v>
      </c>
      <c r="B773" s="66">
        <f>12.6653 * CHOOSE(CONTROL!$C$23, $C$13, 100%, $E$13)</f>
        <v>12.6653</v>
      </c>
      <c r="C773" s="66">
        <f>12.6653 * CHOOSE(CONTROL!$C$23, $C$13, 100%, $E$13)</f>
        <v>12.6653</v>
      </c>
      <c r="D773" s="66">
        <f>12.6692 * CHOOSE(CONTROL!$C$23, $C$13, 100%, $E$13)</f>
        <v>12.6692</v>
      </c>
      <c r="E773" s="67">
        <f>14.4846 * CHOOSE(CONTROL!$C$23, $C$13, 100%, $E$13)</f>
        <v>14.4846</v>
      </c>
      <c r="F773" s="67">
        <f>14.4846 * CHOOSE(CONTROL!$C$23, $C$13, 100%, $E$13)</f>
        <v>14.4846</v>
      </c>
      <c r="G773" s="67">
        <f>14.4894 * CHOOSE(CONTROL!$C$23, $C$13, 100%, $E$13)</f>
        <v>14.4894</v>
      </c>
      <c r="H773" s="67">
        <f>26.8025* CHOOSE(CONTROL!$C$23, $C$13, 100%, $E$13)</f>
        <v>26.802499999999998</v>
      </c>
      <c r="I773" s="67">
        <f>26.8072 * CHOOSE(CONTROL!$C$23, $C$13, 100%, $E$13)</f>
        <v>26.807200000000002</v>
      </c>
      <c r="J773" s="67">
        <f>14.4846 * CHOOSE(CONTROL!$C$23, $C$13, 100%, $E$13)</f>
        <v>14.4846</v>
      </c>
      <c r="K773" s="67">
        <f>14.4894 * CHOOSE(CONTROL!$C$23, $C$13, 100%, $E$13)</f>
        <v>14.4894</v>
      </c>
    </row>
    <row r="774" spans="1:11" ht="15">
      <c r="A774" s="13">
        <v>64682</v>
      </c>
      <c r="B774" s="66">
        <f>12.6623 * CHOOSE(CONTROL!$C$23, $C$13, 100%, $E$13)</f>
        <v>12.6623</v>
      </c>
      <c r="C774" s="66">
        <f>12.6623 * CHOOSE(CONTROL!$C$23, $C$13, 100%, $E$13)</f>
        <v>12.6623</v>
      </c>
      <c r="D774" s="66">
        <f>12.6661 * CHOOSE(CONTROL!$C$23, $C$13, 100%, $E$13)</f>
        <v>12.6661</v>
      </c>
      <c r="E774" s="67">
        <f>14.2275 * CHOOSE(CONTROL!$C$23, $C$13, 100%, $E$13)</f>
        <v>14.227499999999999</v>
      </c>
      <c r="F774" s="67">
        <f>14.2275 * CHOOSE(CONTROL!$C$23, $C$13, 100%, $E$13)</f>
        <v>14.227499999999999</v>
      </c>
      <c r="G774" s="67">
        <f>14.2323 * CHOOSE(CONTROL!$C$23, $C$13, 100%, $E$13)</f>
        <v>14.2323</v>
      </c>
      <c r="H774" s="67">
        <f>26.8583* CHOOSE(CONTROL!$C$23, $C$13, 100%, $E$13)</f>
        <v>26.8583</v>
      </c>
      <c r="I774" s="67">
        <f>26.8631 * CHOOSE(CONTROL!$C$23, $C$13, 100%, $E$13)</f>
        <v>26.863099999999999</v>
      </c>
      <c r="J774" s="67">
        <f>14.2275 * CHOOSE(CONTROL!$C$23, $C$13, 100%, $E$13)</f>
        <v>14.227499999999999</v>
      </c>
      <c r="K774" s="67">
        <f>14.2323 * CHOOSE(CONTROL!$C$23, $C$13, 100%, $E$13)</f>
        <v>14.2323</v>
      </c>
    </row>
    <row r="775" spans="1:11" ht="15">
      <c r="A775" s="13">
        <v>64710</v>
      </c>
      <c r="B775" s="66">
        <f>12.6592 * CHOOSE(CONTROL!$C$23, $C$13, 100%, $E$13)</f>
        <v>12.6592</v>
      </c>
      <c r="C775" s="66">
        <f>12.6592 * CHOOSE(CONTROL!$C$23, $C$13, 100%, $E$13)</f>
        <v>12.6592</v>
      </c>
      <c r="D775" s="66">
        <f>12.6631 * CHOOSE(CONTROL!$C$23, $C$13, 100%, $E$13)</f>
        <v>12.6631</v>
      </c>
      <c r="E775" s="67">
        <f>14.4264 * CHOOSE(CONTROL!$C$23, $C$13, 100%, $E$13)</f>
        <v>14.426399999999999</v>
      </c>
      <c r="F775" s="67">
        <f>14.4264 * CHOOSE(CONTROL!$C$23, $C$13, 100%, $E$13)</f>
        <v>14.426399999999999</v>
      </c>
      <c r="G775" s="67">
        <f>14.4312 * CHOOSE(CONTROL!$C$23, $C$13, 100%, $E$13)</f>
        <v>14.4312</v>
      </c>
      <c r="H775" s="67">
        <f>26.9143* CHOOSE(CONTROL!$C$23, $C$13, 100%, $E$13)</f>
        <v>26.914300000000001</v>
      </c>
      <c r="I775" s="67">
        <f>26.919 * CHOOSE(CONTROL!$C$23, $C$13, 100%, $E$13)</f>
        <v>26.919</v>
      </c>
      <c r="J775" s="67">
        <f>14.4264 * CHOOSE(CONTROL!$C$23, $C$13, 100%, $E$13)</f>
        <v>14.426399999999999</v>
      </c>
      <c r="K775" s="67">
        <f>14.4312 * CHOOSE(CONTROL!$C$23, $C$13, 100%, $E$13)</f>
        <v>14.4312</v>
      </c>
    </row>
    <row r="776" spans="1:11" ht="15">
      <c r="A776" s="13">
        <v>64741</v>
      </c>
      <c r="B776" s="66">
        <f>12.6642 * CHOOSE(CONTROL!$C$23, $C$13, 100%, $E$13)</f>
        <v>12.664199999999999</v>
      </c>
      <c r="C776" s="66">
        <f>12.6642 * CHOOSE(CONTROL!$C$23, $C$13, 100%, $E$13)</f>
        <v>12.664199999999999</v>
      </c>
      <c r="D776" s="66">
        <f>12.668 * CHOOSE(CONTROL!$C$23, $C$13, 100%, $E$13)</f>
        <v>12.667999999999999</v>
      </c>
      <c r="E776" s="67">
        <f>14.638 * CHOOSE(CONTROL!$C$23, $C$13, 100%, $E$13)</f>
        <v>14.638</v>
      </c>
      <c r="F776" s="67">
        <f>14.638 * CHOOSE(CONTROL!$C$23, $C$13, 100%, $E$13)</f>
        <v>14.638</v>
      </c>
      <c r="G776" s="67">
        <f>14.6428 * CHOOSE(CONTROL!$C$23, $C$13, 100%, $E$13)</f>
        <v>14.642799999999999</v>
      </c>
      <c r="H776" s="67">
        <f>26.9703* CHOOSE(CONTROL!$C$23, $C$13, 100%, $E$13)</f>
        <v>26.970300000000002</v>
      </c>
      <c r="I776" s="67">
        <f>26.9751 * CHOOSE(CONTROL!$C$23, $C$13, 100%, $E$13)</f>
        <v>26.975100000000001</v>
      </c>
      <c r="J776" s="67">
        <f>14.638 * CHOOSE(CONTROL!$C$23, $C$13, 100%, $E$13)</f>
        <v>14.638</v>
      </c>
      <c r="K776" s="67">
        <f>14.6428 * CHOOSE(CONTROL!$C$23, $C$13, 100%, $E$13)</f>
        <v>14.642799999999999</v>
      </c>
    </row>
    <row r="777" spans="1:11" ht="15">
      <c r="A777" s="13">
        <v>64771</v>
      </c>
      <c r="B777" s="66">
        <f>12.6642 * CHOOSE(CONTROL!$C$23, $C$13, 100%, $E$13)</f>
        <v>12.664199999999999</v>
      </c>
      <c r="C777" s="66">
        <f>12.6642 * CHOOSE(CONTROL!$C$23, $C$13, 100%, $E$13)</f>
        <v>12.664199999999999</v>
      </c>
      <c r="D777" s="66">
        <f>12.6697 * CHOOSE(CONTROL!$C$23, $C$13, 100%, $E$13)</f>
        <v>12.669700000000001</v>
      </c>
      <c r="E777" s="67">
        <f>14.719 * CHOOSE(CONTROL!$C$23, $C$13, 100%, $E$13)</f>
        <v>14.718999999999999</v>
      </c>
      <c r="F777" s="67">
        <f>14.719 * CHOOSE(CONTROL!$C$23, $C$13, 100%, $E$13)</f>
        <v>14.718999999999999</v>
      </c>
      <c r="G777" s="67">
        <f>14.7257 * CHOOSE(CONTROL!$C$23, $C$13, 100%, $E$13)</f>
        <v>14.7257</v>
      </c>
      <c r="H777" s="67">
        <f>27.0265* CHOOSE(CONTROL!$C$23, $C$13, 100%, $E$13)</f>
        <v>27.026499999999999</v>
      </c>
      <c r="I777" s="67">
        <f>27.0332 * CHOOSE(CONTROL!$C$23, $C$13, 100%, $E$13)</f>
        <v>27.033200000000001</v>
      </c>
      <c r="J777" s="67">
        <f>14.719 * CHOOSE(CONTROL!$C$23, $C$13, 100%, $E$13)</f>
        <v>14.718999999999999</v>
      </c>
      <c r="K777" s="67">
        <f>14.7257 * CHOOSE(CONTROL!$C$23, $C$13, 100%, $E$13)</f>
        <v>14.7257</v>
      </c>
    </row>
    <row r="778" spans="1:11" ht="15">
      <c r="A778" s="13">
        <v>64802</v>
      </c>
      <c r="B778" s="66">
        <f>12.6702 * CHOOSE(CONTROL!$C$23, $C$13, 100%, $E$13)</f>
        <v>12.670199999999999</v>
      </c>
      <c r="C778" s="66">
        <f>12.6702 * CHOOSE(CONTROL!$C$23, $C$13, 100%, $E$13)</f>
        <v>12.670199999999999</v>
      </c>
      <c r="D778" s="66">
        <f>12.6757 * CHOOSE(CONTROL!$C$23, $C$13, 100%, $E$13)</f>
        <v>12.675700000000001</v>
      </c>
      <c r="E778" s="67">
        <f>14.6423 * CHOOSE(CONTROL!$C$23, $C$13, 100%, $E$13)</f>
        <v>14.642300000000001</v>
      </c>
      <c r="F778" s="67">
        <f>14.6423 * CHOOSE(CONTROL!$C$23, $C$13, 100%, $E$13)</f>
        <v>14.642300000000001</v>
      </c>
      <c r="G778" s="67">
        <f>14.649 * CHOOSE(CONTROL!$C$23, $C$13, 100%, $E$13)</f>
        <v>14.648999999999999</v>
      </c>
      <c r="H778" s="67">
        <f>27.0828* CHOOSE(CONTROL!$C$23, $C$13, 100%, $E$13)</f>
        <v>27.082799999999999</v>
      </c>
      <c r="I778" s="67">
        <f>27.0896 * CHOOSE(CONTROL!$C$23, $C$13, 100%, $E$13)</f>
        <v>27.089600000000001</v>
      </c>
      <c r="J778" s="67">
        <f>14.6423 * CHOOSE(CONTROL!$C$23, $C$13, 100%, $E$13)</f>
        <v>14.642300000000001</v>
      </c>
      <c r="K778" s="67">
        <f>14.649 * CHOOSE(CONTROL!$C$23, $C$13, 100%, $E$13)</f>
        <v>14.648999999999999</v>
      </c>
    </row>
    <row r="779" spans="1:11" ht="15">
      <c r="A779" s="13">
        <v>64832</v>
      </c>
      <c r="B779" s="66">
        <f>12.8633 * CHOOSE(CONTROL!$C$23, $C$13, 100%, $E$13)</f>
        <v>12.863300000000001</v>
      </c>
      <c r="C779" s="66">
        <f>12.8633 * CHOOSE(CONTROL!$C$23, $C$13, 100%, $E$13)</f>
        <v>12.863300000000001</v>
      </c>
      <c r="D779" s="66">
        <f>12.8689 * CHOOSE(CONTROL!$C$23, $C$13, 100%, $E$13)</f>
        <v>12.8689</v>
      </c>
      <c r="E779" s="67">
        <f>14.8762 * CHOOSE(CONTROL!$C$23, $C$13, 100%, $E$13)</f>
        <v>14.876200000000001</v>
      </c>
      <c r="F779" s="67">
        <f>14.8762 * CHOOSE(CONTROL!$C$23, $C$13, 100%, $E$13)</f>
        <v>14.876200000000001</v>
      </c>
      <c r="G779" s="67">
        <f>14.883 * CHOOSE(CONTROL!$C$23, $C$13, 100%, $E$13)</f>
        <v>14.882999999999999</v>
      </c>
      <c r="H779" s="67">
        <f>27.1392* CHOOSE(CONTROL!$C$23, $C$13, 100%, $E$13)</f>
        <v>27.139199999999999</v>
      </c>
      <c r="I779" s="67">
        <f>27.146 * CHOOSE(CONTROL!$C$23, $C$13, 100%, $E$13)</f>
        <v>27.146000000000001</v>
      </c>
      <c r="J779" s="67">
        <f>14.8762 * CHOOSE(CONTROL!$C$23, $C$13, 100%, $E$13)</f>
        <v>14.876200000000001</v>
      </c>
      <c r="K779" s="67">
        <f>14.883 * CHOOSE(CONTROL!$C$23, $C$13, 100%, $E$13)</f>
        <v>14.882999999999999</v>
      </c>
    </row>
    <row r="780" spans="1:11" ht="15">
      <c r="A780" s="13">
        <v>64863</v>
      </c>
      <c r="B780" s="66">
        <f>12.87 * CHOOSE(CONTROL!$C$23, $C$13, 100%, $E$13)</f>
        <v>12.87</v>
      </c>
      <c r="C780" s="66">
        <f>12.87 * CHOOSE(CONTROL!$C$23, $C$13, 100%, $E$13)</f>
        <v>12.87</v>
      </c>
      <c r="D780" s="66">
        <f>12.8755 * CHOOSE(CONTROL!$C$23, $C$13, 100%, $E$13)</f>
        <v>12.875500000000001</v>
      </c>
      <c r="E780" s="67">
        <f>14.6381 * CHOOSE(CONTROL!$C$23, $C$13, 100%, $E$13)</f>
        <v>14.6381</v>
      </c>
      <c r="F780" s="67">
        <f>14.6381 * CHOOSE(CONTROL!$C$23, $C$13, 100%, $E$13)</f>
        <v>14.6381</v>
      </c>
      <c r="G780" s="67">
        <f>14.6448 * CHOOSE(CONTROL!$C$23, $C$13, 100%, $E$13)</f>
        <v>14.6448</v>
      </c>
      <c r="H780" s="67">
        <f>27.1958* CHOOSE(CONTROL!$C$23, $C$13, 100%, $E$13)</f>
        <v>27.195799999999998</v>
      </c>
      <c r="I780" s="67">
        <f>27.2025 * CHOOSE(CONTROL!$C$23, $C$13, 100%, $E$13)</f>
        <v>27.202500000000001</v>
      </c>
      <c r="J780" s="67">
        <f>14.6381 * CHOOSE(CONTROL!$C$23, $C$13, 100%, $E$13)</f>
        <v>14.6381</v>
      </c>
      <c r="K780" s="67">
        <f>14.6448 * CHOOSE(CONTROL!$C$23, $C$13, 100%, $E$13)</f>
        <v>14.6448</v>
      </c>
    </row>
    <row r="781" spans="1:11" ht="15">
      <c r="A781" s="13">
        <v>64894</v>
      </c>
      <c r="B781" s="66">
        <f>12.867 * CHOOSE(CONTROL!$C$23, $C$13, 100%, $E$13)</f>
        <v>12.867000000000001</v>
      </c>
      <c r="C781" s="66">
        <f>12.867 * CHOOSE(CONTROL!$C$23, $C$13, 100%, $E$13)</f>
        <v>12.867000000000001</v>
      </c>
      <c r="D781" s="66">
        <f>12.8725 * CHOOSE(CONTROL!$C$23, $C$13, 100%, $E$13)</f>
        <v>12.8725</v>
      </c>
      <c r="E781" s="67">
        <f>14.609 * CHOOSE(CONTROL!$C$23, $C$13, 100%, $E$13)</f>
        <v>14.609</v>
      </c>
      <c r="F781" s="67">
        <f>14.609 * CHOOSE(CONTROL!$C$23, $C$13, 100%, $E$13)</f>
        <v>14.609</v>
      </c>
      <c r="G781" s="67">
        <f>14.6157 * CHOOSE(CONTROL!$C$23, $C$13, 100%, $E$13)</f>
        <v>14.6157</v>
      </c>
      <c r="H781" s="67">
        <f>27.2524* CHOOSE(CONTROL!$C$23, $C$13, 100%, $E$13)</f>
        <v>27.252400000000002</v>
      </c>
      <c r="I781" s="67">
        <f>27.2592 * CHOOSE(CONTROL!$C$23, $C$13, 100%, $E$13)</f>
        <v>27.2592</v>
      </c>
      <c r="J781" s="67">
        <f>14.609 * CHOOSE(CONTROL!$C$23, $C$13, 100%, $E$13)</f>
        <v>14.609</v>
      </c>
      <c r="K781" s="67">
        <f>14.6157 * CHOOSE(CONTROL!$C$23, $C$13, 100%, $E$13)</f>
        <v>14.6157</v>
      </c>
    </row>
    <row r="782" spans="1:11" ht="15">
      <c r="A782" s="13">
        <v>64924</v>
      </c>
      <c r="B782" s="66">
        <f>12.8907 * CHOOSE(CONTROL!$C$23, $C$13, 100%, $E$13)</f>
        <v>12.890700000000001</v>
      </c>
      <c r="C782" s="66">
        <f>12.8907 * CHOOSE(CONTROL!$C$23, $C$13, 100%, $E$13)</f>
        <v>12.890700000000001</v>
      </c>
      <c r="D782" s="66">
        <f>12.8945 * CHOOSE(CONTROL!$C$23, $C$13, 100%, $E$13)</f>
        <v>12.894500000000001</v>
      </c>
      <c r="E782" s="67">
        <f>14.7035 * CHOOSE(CONTROL!$C$23, $C$13, 100%, $E$13)</f>
        <v>14.7035</v>
      </c>
      <c r="F782" s="67">
        <f>14.7035 * CHOOSE(CONTROL!$C$23, $C$13, 100%, $E$13)</f>
        <v>14.7035</v>
      </c>
      <c r="G782" s="67">
        <f>14.7082 * CHOOSE(CONTROL!$C$23, $C$13, 100%, $E$13)</f>
        <v>14.7082</v>
      </c>
      <c r="H782" s="67">
        <f>27.3092* CHOOSE(CONTROL!$C$23, $C$13, 100%, $E$13)</f>
        <v>27.309200000000001</v>
      </c>
      <c r="I782" s="67">
        <f>27.314 * CHOOSE(CONTROL!$C$23, $C$13, 100%, $E$13)</f>
        <v>27.314</v>
      </c>
      <c r="J782" s="67">
        <f>14.7035 * CHOOSE(CONTROL!$C$23, $C$13, 100%, $E$13)</f>
        <v>14.7035</v>
      </c>
      <c r="K782" s="67">
        <f>14.7082 * CHOOSE(CONTROL!$C$23, $C$13, 100%, $E$13)</f>
        <v>14.7082</v>
      </c>
    </row>
    <row r="783" spans="1:11" ht="15">
      <c r="A783" s="13">
        <v>64955</v>
      </c>
      <c r="B783" s="66">
        <f>12.8937 * CHOOSE(CONTROL!$C$23, $C$13, 100%, $E$13)</f>
        <v>12.893700000000001</v>
      </c>
      <c r="C783" s="66">
        <f>12.8937 * CHOOSE(CONTROL!$C$23, $C$13, 100%, $E$13)</f>
        <v>12.893700000000001</v>
      </c>
      <c r="D783" s="66">
        <f>12.8976 * CHOOSE(CONTROL!$C$23, $C$13, 100%, $E$13)</f>
        <v>12.897600000000001</v>
      </c>
      <c r="E783" s="67">
        <f>14.7596 * CHOOSE(CONTROL!$C$23, $C$13, 100%, $E$13)</f>
        <v>14.759600000000001</v>
      </c>
      <c r="F783" s="67">
        <f>14.7596 * CHOOSE(CONTROL!$C$23, $C$13, 100%, $E$13)</f>
        <v>14.759600000000001</v>
      </c>
      <c r="G783" s="67">
        <f>14.7643 * CHOOSE(CONTROL!$C$23, $C$13, 100%, $E$13)</f>
        <v>14.7643</v>
      </c>
      <c r="H783" s="67">
        <f>27.3661* CHOOSE(CONTROL!$C$23, $C$13, 100%, $E$13)</f>
        <v>27.366099999999999</v>
      </c>
      <c r="I783" s="67">
        <f>27.3709 * CHOOSE(CONTROL!$C$23, $C$13, 100%, $E$13)</f>
        <v>27.370899999999999</v>
      </c>
      <c r="J783" s="67">
        <f>14.7596 * CHOOSE(CONTROL!$C$23, $C$13, 100%, $E$13)</f>
        <v>14.759600000000001</v>
      </c>
      <c r="K783" s="67">
        <f>14.7643 * CHOOSE(CONTROL!$C$23, $C$13, 100%, $E$13)</f>
        <v>14.7643</v>
      </c>
    </row>
    <row r="784" spans="1:11" ht="15">
      <c r="A784" s="13">
        <v>64985</v>
      </c>
      <c r="B784" s="66">
        <f>12.8937 * CHOOSE(CONTROL!$C$23, $C$13, 100%, $E$13)</f>
        <v>12.893700000000001</v>
      </c>
      <c r="C784" s="66">
        <f>12.8937 * CHOOSE(CONTROL!$C$23, $C$13, 100%, $E$13)</f>
        <v>12.893700000000001</v>
      </c>
      <c r="D784" s="66">
        <f>12.8976 * CHOOSE(CONTROL!$C$23, $C$13, 100%, $E$13)</f>
        <v>12.897600000000001</v>
      </c>
      <c r="E784" s="67">
        <f>14.6246 * CHOOSE(CONTROL!$C$23, $C$13, 100%, $E$13)</f>
        <v>14.624599999999999</v>
      </c>
      <c r="F784" s="67">
        <f>14.6246 * CHOOSE(CONTROL!$C$23, $C$13, 100%, $E$13)</f>
        <v>14.624599999999999</v>
      </c>
      <c r="G784" s="67">
        <f>14.6294 * CHOOSE(CONTROL!$C$23, $C$13, 100%, $E$13)</f>
        <v>14.6294</v>
      </c>
      <c r="H784" s="67">
        <f>27.4231* CHOOSE(CONTROL!$C$23, $C$13, 100%, $E$13)</f>
        <v>27.423100000000002</v>
      </c>
      <c r="I784" s="67">
        <f>27.4279 * CHOOSE(CONTROL!$C$23, $C$13, 100%, $E$13)</f>
        <v>27.427900000000001</v>
      </c>
      <c r="J784" s="67">
        <f>14.6246 * CHOOSE(CONTROL!$C$23, $C$13, 100%, $E$13)</f>
        <v>14.624599999999999</v>
      </c>
      <c r="K784" s="67">
        <f>14.6294 * CHOOSE(CONTROL!$C$23, $C$13, 100%, $E$13)</f>
        <v>14.6294</v>
      </c>
    </row>
    <row r="785" spans="1:11" ht="15">
      <c r="A785" s="13">
        <v>65016</v>
      </c>
      <c r="B785" s="66">
        <f>12.9009 * CHOOSE(CONTROL!$C$23, $C$13, 100%, $E$13)</f>
        <v>12.9009</v>
      </c>
      <c r="C785" s="66">
        <f>12.9009 * CHOOSE(CONTROL!$C$23, $C$13, 100%, $E$13)</f>
        <v>12.9009</v>
      </c>
      <c r="D785" s="66">
        <f>12.9048 * CHOOSE(CONTROL!$C$23, $C$13, 100%, $E$13)</f>
        <v>12.9048</v>
      </c>
      <c r="E785" s="67">
        <f>14.7393 * CHOOSE(CONTROL!$C$23, $C$13, 100%, $E$13)</f>
        <v>14.7393</v>
      </c>
      <c r="F785" s="67">
        <f>14.7393 * CHOOSE(CONTROL!$C$23, $C$13, 100%, $E$13)</f>
        <v>14.7393</v>
      </c>
      <c r="G785" s="67">
        <f>14.7441 * CHOOSE(CONTROL!$C$23, $C$13, 100%, $E$13)</f>
        <v>14.7441</v>
      </c>
      <c r="H785" s="67">
        <f>27.285* CHOOSE(CONTROL!$C$23, $C$13, 100%, $E$13)</f>
        <v>27.285</v>
      </c>
      <c r="I785" s="67">
        <f>27.2898 * CHOOSE(CONTROL!$C$23, $C$13, 100%, $E$13)</f>
        <v>27.2898</v>
      </c>
      <c r="J785" s="67">
        <f>14.7393 * CHOOSE(CONTROL!$C$23, $C$13, 100%, $E$13)</f>
        <v>14.7393</v>
      </c>
      <c r="K785" s="67">
        <f>14.7441 * CHOOSE(CONTROL!$C$23, $C$13, 100%, $E$13)</f>
        <v>14.7441</v>
      </c>
    </row>
    <row r="786" spans="1:11" ht="15">
      <c r="A786" s="13">
        <v>65047</v>
      </c>
      <c r="B786" s="66">
        <f>12.8978 * CHOOSE(CONTROL!$C$23, $C$13, 100%, $E$13)</f>
        <v>12.8978</v>
      </c>
      <c r="C786" s="66">
        <f>12.8978 * CHOOSE(CONTROL!$C$23, $C$13, 100%, $E$13)</f>
        <v>12.8978</v>
      </c>
      <c r="D786" s="66">
        <f>12.9017 * CHOOSE(CONTROL!$C$23, $C$13, 100%, $E$13)</f>
        <v>12.9017</v>
      </c>
      <c r="E786" s="67">
        <f>14.4773 * CHOOSE(CONTROL!$C$23, $C$13, 100%, $E$13)</f>
        <v>14.4773</v>
      </c>
      <c r="F786" s="67">
        <f>14.4773 * CHOOSE(CONTROL!$C$23, $C$13, 100%, $E$13)</f>
        <v>14.4773</v>
      </c>
      <c r="G786" s="67">
        <f>14.4821 * CHOOSE(CONTROL!$C$23, $C$13, 100%, $E$13)</f>
        <v>14.482100000000001</v>
      </c>
      <c r="H786" s="67">
        <f>27.3418* CHOOSE(CONTROL!$C$23, $C$13, 100%, $E$13)</f>
        <v>27.341799999999999</v>
      </c>
      <c r="I786" s="67">
        <f>27.3466 * CHOOSE(CONTROL!$C$23, $C$13, 100%, $E$13)</f>
        <v>27.346599999999999</v>
      </c>
      <c r="J786" s="67">
        <f>14.4773 * CHOOSE(CONTROL!$C$23, $C$13, 100%, $E$13)</f>
        <v>14.4773</v>
      </c>
      <c r="K786" s="67">
        <f>14.4821 * CHOOSE(CONTROL!$C$23, $C$13, 100%, $E$13)</f>
        <v>14.482100000000001</v>
      </c>
    </row>
    <row r="787" spans="1:11" ht="15">
      <c r="A787" s="13">
        <v>65075</v>
      </c>
      <c r="B787" s="66">
        <f>12.8948 * CHOOSE(CONTROL!$C$23, $C$13, 100%, $E$13)</f>
        <v>12.8948</v>
      </c>
      <c r="C787" s="66">
        <f>12.8948 * CHOOSE(CONTROL!$C$23, $C$13, 100%, $E$13)</f>
        <v>12.8948</v>
      </c>
      <c r="D787" s="66">
        <f>12.8987 * CHOOSE(CONTROL!$C$23, $C$13, 100%, $E$13)</f>
        <v>12.8987</v>
      </c>
      <c r="E787" s="67">
        <f>14.6801 * CHOOSE(CONTROL!$C$23, $C$13, 100%, $E$13)</f>
        <v>14.680099999999999</v>
      </c>
      <c r="F787" s="67">
        <f>14.6801 * CHOOSE(CONTROL!$C$23, $C$13, 100%, $E$13)</f>
        <v>14.680099999999999</v>
      </c>
      <c r="G787" s="67">
        <f>14.6849 * CHOOSE(CONTROL!$C$23, $C$13, 100%, $E$13)</f>
        <v>14.684900000000001</v>
      </c>
      <c r="H787" s="67">
        <f>27.3988* CHOOSE(CONTROL!$C$23, $C$13, 100%, $E$13)</f>
        <v>27.398800000000001</v>
      </c>
      <c r="I787" s="67">
        <f>27.4036 * CHOOSE(CONTROL!$C$23, $C$13, 100%, $E$13)</f>
        <v>27.403600000000001</v>
      </c>
      <c r="J787" s="67">
        <f>14.6801 * CHOOSE(CONTROL!$C$23, $C$13, 100%, $E$13)</f>
        <v>14.680099999999999</v>
      </c>
      <c r="K787" s="67">
        <f>14.6849 * CHOOSE(CONTROL!$C$23, $C$13, 100%, $E$13)</f>
        <v>14.684900000000001</v>
      </c>
    </row>
    <row r="788" spans="1:11" ht="15">
      <c r="A788" s="13">
        <v>65106</v>
      </c>
      <c r="B788" s="66">
        <f>12.8999 * CHOOSE(CONTROL!$C$23, $C$13, 100%, $E$13)</f>
        <v>12.899900000000001</v>
      </c>
      <c r="C788" s="66">
        <f>12.8999 * CHOOSE(CONTROL!$C$23, $C$13, 100%, $E$13)</f>
        <v>12.899900000000001</v>
      </c>
      <c r="D788" s="66">
        <f>12.9038 * CHOOSE(CONTROL!$C$23, $C$13, 100%, $E$13)</f>
        <v>12.9038</v>
      </c>
      <c r="E788" s="67">
        <f>14.8959 * CHOOSE(CONTROL!$C$23, $C$13, 100%, $E$13)</f>
        <v>14.895899999999999</v>
      </c>
      <c r="F788" s="67">
        <f>14.8959 * CHOOSE(CONTROL!$C$23, $C$13, 100%, $E$13)</f>
        <v>14.895899999999999</v>
      </c>
      <c r="G788" s="67">
        <f>14.9007 * CHOOSE(CONTROL!$C$23, $C$13, 100%, $E$13)</f>
        <v>14.900700000000001</v>
      </c>
      <c r="H788" s="67">
        <f>27.4559* CHOOSE(CONTROL!$C$23, $C$13, 100%, $E$13)</f>
        <v>27.4559</v>
      </c>
      <c r="I788" s="67">
        <f>27.4607 * CHOOSE(CONTROL!$C$23, $C$13, 100%, $E$13)</f>
        <v>27.460699999999999</v>
      </c>
      <c r="J788" s="67">
        <f>14.8959 * CHOOSE(CONTROL!$C$23, $C$13, 100%, $E$13)</f>
        <v>14.895899999999999</v>
      </c>
      <c r="K788" s="67">
        <f>14.9007 * CHOOSE(CONTROL!$C$23, $C$13, 100%, $E$13)</f>
        <v>14.900700000000001</v>
      </c>
    </row>
    <row r="789" spans="1:11" ht="15">
      <c r="A789" s="13">
        <v>65136</v>
      </c>
      <c r="B789" s="66">
        <f>12.8999 * CHOOSE(CONTROL!$C$23, $C$13, 100%, $E$13)</f>
        <v>12.899900000000001</v>
      </c>
      <c r="C789" s="66">
        <f>12.8999 * CHOOSE(CONTROL!$C$23, $C$13, 100%, $E$13)</f>
        <v>12.899900000000001</v>
      </c>
      <c r="D789" s="66">
        <f>12.9054 * CHOOSE(CONTROL!$C$23, $C$13, 100%, $E$13)</f>
        <v>12.9054</v>
      </c>
      <c r="E789" s="67">
        <f>14.9784 * CHOOSE(CONTROL!$C$23, $C$13, 100%, $E$13)</f>
        <v>14.978400000000001</v>
      </c>
      <c r="F789" s="67">
        <f>14.9784 * CHOOSE(CONTROL!$C$23, $C$13, 100%, $E$13)</f>
        <v>14.978400000000001</v>
      </c>
      <c r="G789" s="67">
        <f>14.9852 * CHOOSE(CONTROL!$C$23, $C$13, 100%, $E$13)</f>
        <v>14.985200000000001</v>
      </c>
      <c r="H789" s="67">
        <f>27.5131* CHOOSE(CONTROL!$C$23, $C$13, 100%, $E$13)</f>
        <v>27.513100000000001</v>
      </c>
      <c r="I789" s="67">
        <f>27.5198 * CHOOSE(CONTROL!$C$23, $C$13, 100%, $E$13)</f>
        <v>27.5198</v>
      </c>
      <c r="J789" s="67">
        <f>14.9784 * CHOOSE(CONTROL!$C$23, $C$13, 100%, $E$13)</f>
        <v>14.978400000000001</v>
      </c>
      <c r="K789" s="67">
        <f>14.9852 * CHOOSE(CONTROL!$C$23, $C$13, 100%, $E$13)</f>
        <v>14.985200000000001</v>
      </c>
    </row>
    <row r="790" spans="1:11" ht="15">
      <c r="A790" s="13">
        <v>65167</v>
      </c>
      <c r="B790" s="66">
        <f>12.906 * CHOOSE(CONTROL!$C$23, $C$13, 100%, $E$13)</f>
        <v>12.906000000000001</v>
      </c>
      <c r="C790" s="66">
        <f>12.906 * CHOOSE(CONTROL!$C$23, $C$13, 100%, $E$13)</f>
        <v>12.906000000000001</v>
      </c>
      <c r="D790" s="66">
        <f>12.9115 * CHOOSE(CONTROL!$C$23, $C$13, 100%, $E$13)</f>
        <v>12.9115</v>
      </c>
      <c r="E790" s="67">
        <f>14.9001 * CHOOSE(CONTROL!$C$23, $C$13, 100%, $E$13)</f>
        <v>14.9001</v>
      </c>
      <c r="F790" s="67">
        <f>14.9001 * CHOOSE(CONTROL!$C$23, $C$13, 100%, $E$13)</f>
        <v>14.9001</v>
      </c>
      <c r="G790" s="67">
        <f>14.9069 * CHOOSE(CONTROL!$C$23, $C$13, 100%, $E$13)</f>
        <v>14.9069</v>
      </c>
      <c r="H790" s="67">
        <f>27.5704* CHOOSE(CONTROL!$C$23, $C$13, 100%, $E$13)</f>
        <v>27.570399999999999</v>
      </c>
      <c r="I790" s="67">
        <f>27.5771 * CHOOSE(CONTROL!$C$23, $C$13, 100%, $E$13)</f>
        <v>27.577100000000002</v>
      </c>
      <c r="J790" s="67">
        <f>14.9001 * CHOOSE(CONTROL!$C$23, $C$13, 100%, $E$13)</f>
        <v>14.9001</v>
      </c>
      <c r="K790" s="67">
        <f>14.9069 * CHOOSE(CONTROL!$C$23, $C$13, 100%, $E$13)</f>
        <v>14.9069</v>
      </c>
    </row>
    <row r="791" spans="1:11" ht="15">
      <c r="A791" s="13">
        <v>65197</v>
      </c>
      <c r="B791" s="66">
        <f>13.1025 * CHOOSE(CONTROL!$C$23, $C$13, 100%, $E$13)</f>
        <v>13.102499999999999</v>
      </c>
      <c r="C791" s="66">
        <f>13.1025 * CHOOSE(CONTROL!$C$23, $C$13, 100%, $E$13)</f>
        <v>13.102499999999999</v>
      </c>
      <c r="D791" s="66">
        <f>13.108 * CHOOSE(CONTROL!$C$23, $C$13, 100%, $E$13)</f>
        <v>13.108000000000001</v>
      </c>
      <c r="E791" s="67">
        <f>15.138 * CHOOSE(CONTROL!$C$23, $C$13, 100%, $E$13)</f>
        <v>15.138</v>
      </c>
      <c r="F791" s="67">
        <f>15.138 * CHOOSE(CONTROL!$C$23, $C$13, 100%, $E$13)</f>
        <v>15.138</v>
      </c>
      <c r="G791" s="67">
        <f>15.1448 * CHOOSE(CONTROL!$C$23, $C$13, 100%, $E$13)</f>
        <v>15.1448</v>
      </c>
      <c r="H791" s="67">
        <f>27.6278* CHOOSE(CONTROL!$C$23, $C$13, 100%, $E$13)</f>
        <v>27.627800000000001</v>
      </c>
      <c r="I791" s="67">
        <f>27.6346 * CHOOSE(CONTROL!$C$23, $C$13, 100%, $E$13)</f>
        <v>27.634599999999999</v>
      </c>
      <c r="J791" s="67">
        <f>15.138 * CHOOSE(CONTROL!$C$23, $C$13, 100%, $E$13)</f>
        <v>15.138</v>
      </c>
      <c r="K791" s="67">
        <f>15.1448 * CHOOSE(CONTROL!$C$23, $C$13, 100%, $E$13)</f>
        <v>15.1448</v>
      </c>
    </row>
    <row r="792" spans="1:11" ht="15">
      <c r="A792" s="13">
        <v>65228</v>
      </c>
      <c r="B792" s="66">
        <f>13.1092 * CHOOSE(CONTROL!$C$23, $C$13, 100%, $E$13)</f>
        <v>13.1092</v>
      </c>
      <c r="C792" s="66">
        <f>13.1092 * CHOOSE(CONTROL!$C$23, $C$13, 100%, $E$13)</f>
        <v>13.1092</v>
      </c>
      <c r="D792" s="66">
        <f>13.1147 * CHOOSE(CONTROL!$C$23, $C$13, 100%, $E$13)</f>
        <v>13.114699999999999</v>
      </c>
      <c r="E792" s="67">
        <f>14.8951 * CHOOSE(CONTROL!$C$23, $C$13, 100%, $E$13)</f>
        <v>14.895099999999999</v>
      </c>
      <c r="F792" s="67">
        <f>14.8951 * CHOOSE(CONTROL!$C$23, $C$13, 100%, $E$13)</f>
        <v>14.895099999999999</v>
      </c>
      <c r="G792" s="67">
        <f>14.9019 * CHOOSE(CONTROL!$C$23, $C$13, 100%, $E$13)</f>
        <v>14.901899999999999</v>
      </c>
      <c r="H792" s="67">
        <f>27.6854* CHOOSE(CONTROL!$C$23, $C$13, 100%, $E$13)</f>
        <v>27.685400000000001</v>
      </c>
      <c r="I792" s="67">
        <f>27.6921 * CHOOSE(CONTROL!$C$23, $C$13, 100%, $E$13)</f>
        <v>27.6921</v>
      </c>
      <c r="J792" s="67">
        <f>14.8951 * CHOOSE(CONTROL!$C$23, $C$13, 100%, $E$13)</f>
        <v>14.895099999999999</v>
      </c>
      <c r="K792" s="67">
        <f>14.9019 * CHOOSE(CONTROL!$C$23, $C$13, 100%, $E$13)</f>
        <v>14.901899999999999</v>
      </c>
    </row>
    <row r="793" spans="1:11" ht="15">
      <c r="A793" s="13">
        <v>65259</v>
      </c>
      <c r="B793" s="66">
        <f>13.1062 * CHOOSE(CONTROL!$C$23, $C$13, 100%, $E$13)</f>
        <v>13.106199999999999</v>
      </c>
      <c r="C793" s="66">
        <f>13.1062 * CHOOSE(CONTROL!$C$23, $C$13, 100%, $E$13)</f>
        <v>13.106199999999999</v>
      </c>
      <c r="D793" s="66">
        <f>13.1117 * CHOOSE(CONTROL!$C$23, $C$13, 100%, $E$13)</f>
        <v>13.111700000000001</v>
      </c>
      <c r="E793" s="67">
        <f>14.8655 * CHOOSE(CONTROL!$C$23, $C$13, 100%, $E$13)</f>
        <v>14.865500000000001</v>
      </c>
      <c r="F793" s="67">
        <f>14.8655 * CHOOSE(CONTROL!$C$23, $C$13, 100%, $E$13)</f>
        <v>14.865500000000001</v>
      </c>
      <c r="G793" s="67">
        <f>14.8722 * CHOOSE(CONTROL!$C$23, $C$13, 100%, $E$13)</f>
        <v>14.872199999999999</v>
      </c>
      <c r="H793" s="67">
        <f>27.7431* CHOOSE(CONTROL!$C$23, $C$13, 100%, $E$13)</f>
        <v>27.743099999999998</v>
      </c>
      <c r="I793" s="67">
        <f>27.7498 * CHOOSE(CONTROL!$C$23, $C$13, 100%, $E$13)</f>
        <v>27.7498</v>
      </c>
      <c r="J793" s="67">
        <f>14.8655 * CHOOSE(CONTROL!$C$23, $C$13, 100%, $E$13)</f>
        <v>14.865500000000001</v>
      </c>
      <c r="K793" s="67">
        <f>14.8722 * CHOOSE(CONTROL!$C$23, $C$13, 100%, $E$13)</f>
        <v>14.872199999999999</v>
      </c>
    </row>
    <row r="794" spans="1:11" ht="15">
      <c r="A794" s="13">
        <v>65289</v>
      </c>
      <c r="B794" s="66">
        <f>13.1306 * CHOOSE(CONTROL!$C$23, $C$13, 100%, $E$13)</f>
        <v>13.130599999999999</v>
      </c>
      <c r="C794" s="66">
        <f>13.1306 * CHOOSE(CONTROL!$C$23, $C$13, 100%, $E$13)</f>
        <v>13.130599999999999</v>
      </c>
      <c r="D794" s="66">
        <f>13.1345 * CHOOSE(CONTROL!$C$23, $C$13, 100%, $E$13)</f>
        <v>13.134499999999999</v>
      </c>
      <c r="E794" s="67">
        <f>14.9621 * CHOOSE(CONTROL!$C$23, $C$13, 100%, $E$13)</f>
        <v>14.9621</v>
      </c>
      <c r="F794" s="67">
        <f>14.9621 * CHOOSE(CONTROL!$C$23, $C$13, 100%, $E$13)</f>
        <v>14.9621</v>
      </c>
      <c r="G794" s="67">
        <f>14.9669 * CHOOSE(CONTROL!$C$23, $C$13, 100%, $E$13)</f>
        <v>14.966900000000001</v>
      </c>
      <c r="H794" s="67">
        <f>27.8009* CHOOSE(CONTROL!$C$23, $C$13, 100%, $E$13)</f>
        <v>27.800899999999999</v>
      </c>
      <c r="I794" s="67">
        <f>27.8057 * CHOOSE(CONTROL!$C$23, $C$13, 100%, $E$13)</f>
        <v>27.805700000000002</v>
      </c>
      <c r="J794" s="67">
        <f>14.9621 * CHOOSE(CONTROL!$C$23, $C$13, 100%, $E$13)</f>
        <v>14.9621</v>
      </c>
      <c r="K794" s="67">
        <f>14.9669 * CHOOSE(CONTROL!$C$23, $C$13, 100%, $E$13)</f>
        <v>14.966900000000001</v>
      </c>
    </row>
    <row r="795" spans="1:11" ht="15">
      <c r="A795" s="13">
        <v>65320</v>
      </c>
      <c r="B795" s="66">
        <f>13.1336 * CHOOSE(CONTROL!$C$23, $C$13, 100%, $E$13)</f>
        <v>13.133599999999999</v>
      </c>
      <c r="C795" s="66">
        <f>13.1336 * CHOOSE(CONTROL!$C$23, $C$13, 100%, $E$13)</f>
        <v>13.133599999999999</v>
      </c>
      <c r="D795" s="66">
        <f>13.1375 * CHOOSE(CONTROL!$C$23, $C$13, 100%, $E$13)</f>
        <v>13.137499999999999</v>
      </c>
      <c r="E795" s="67">
        <f>15.0192 * CHOOSE(CONTROL!$C$23, $C$13, 100%, $E$13)</f>
        <v>15.0192</v>
      </c>
      <c r="F795" s="67">
        <f>15.0192 * CHOOSE(CONTROL!$C$23, $C$13, 100%, $E$13)</f>
        <v>15.0192</v>
      </c>
      <c r="G795" s="67">
        <f>15.024 * CHOOSE(CONTROL!$C$23, $C$13, 100%, $E$13)</f>
        <v>15.023999999999999</v>
      </c>
      <c r="H795" s="67">
        <f>27.8588* CHOOSE(CONTROL!$C$23, $C$13, 100%, $E$13)</f>
        <v>27.858799999999999</v>
      </c>
      <c r="I795" s="67">
        <f>27.8636 * CHOOSE(CONTROL!$C$23, $C$13, 100%, $E$13)</f>
        <v>27.863600000000002</v>
      </c>
      <c r="J795" s="67">
        <f>15.0192 * CHOOSE(CONTROL!$C$23, $C$13, 100%, $E$13)</f>
        <v>15.0192</v>
      </c>
      <c r="K795" s="67">
        <f>15.024 * CHOOSE(CONTROL!$C$23, $C$13, 100%, $E$13)</f>
        <v>15.023999999999999</v>
      </c>
    </row>
    <row r="796" spans="1:11" ht="15">
      <c r="A796" s="13">
        <v>65350</v>
      </c>
      <c r="B796" s="66">
        <f>13.1336 * CHOOSE(CONTROL!$C$23, $C$13, 100%, $E$13)</f>
        <v>13.133599999999999</v>
      </c>
      <c r="C796" s="66">
        <f>13.1336 * CHOOSE(CONTROL!$C$23, $C$13, 100%, $E$13)</f>
        <v>13.133599999999999</v>
      </c>
      <c r="D796" s="66">
        <f>13.1375 * CHOOSE(CONTROL!$C$23, $C$13, 100%, $E$13)</f>
        <v>13.137499999999999</v>
      </c>
      <c r="E796" s="67">
        <f>14.8817 * CHOOSE(CONTROL!$C$23, $C$13, 100%, $E$13)</f>
        <v>14.8817</v>
      </c>
      <c r="F796" s="67">
        <f>14.8817 * CHOOSE(CONTROL!$C$23, $C$13, 100%, $E$13)</f>
        <v>14.8817</v>
      </c>
      <c r="G796" s="67">
        <f>14.8865 * CHOOSE(CONTROL!$C$23, $C$13, 100%, $E$13)</f>
        <v>14.8865</v>
      </c>
      <c r="H796" s="67">
        <f>27.9168* CHOOSE(CONTROL!$C$23, $C$13, 100%, $E$13)</f>
        <v>27.916799999999999</v>
      </c>
      <c r="I796" s="67">
        <f>27.9216 * CHOOSE(CONTROL!$C$23, $C$13, 100%, $E$13)</f>
        <v>27.921600000000002</v>
      </c>
      <c r="J796" s="67">
        <f>14.8817 * CHOOSE(CONTROL!$C$23, $C$13, 100%, $E$13)</f>
        <v>14.8817</v>
      </c>
      <c r="K796" s="67">
        <f>14.8865 * CHOOSE(CONTROL!$C$23, $C$13, 100%, $E$13)</f>
        <v>14.8865</v>
      </c>
    </row>
    <row r="797" spans="1:11" ht="15">
      <c r="A797" s="13">
        <v>65381</v>
      </c>
      <c r="B797" s="66">
        <f>13.1365 * CHOOSE(CONTROL!$C$23, $C$13, 100%, $E$13)</f>
        <v>13.1365</v>
      </c>
      <c r="C797" s="66">
        <f>13.1365 * CHOOSE(CONTROL!$C$23, $C$13, 100%, $E$13)</f>
        <v>13.1365</v>
      </c>
      <c r="D797" s="66">
        <f>13.1403 * CHOOSE(CONTROL!$C$23, $C$13, 100%, $E$13)</f>
        <v>13.1403</v>
      </c>
      <c r="E797" s="67">
        <f>14.9941 * CHOOSE(CONTROL!$C$23, $C$13, 100%, $E$13)</f>
        <v>14.9941</v>
      </c>
      <c r="F797" s="67">
        <f>14.9941 * CHOOSE(CONTROL!$C$23, $C$13, 100%, $E$13)</f>
        <v>14.9941</v>
      </c>
      <c r="G797" s="67">
        <f>14.9988 * CHOOSE(CONTROL!$C$23, $C$13, 100%, $E$13)</f>
        <v>14.998799999999999</v>
      </c>
      <c r="H797" s="67">
        <f>27.7676* CHOOSE(CONTROL!$C$23, $C$13, 100%, $E$13)</f>
        <v>27.767600000000002</v>
      </c>
      <c r="I797" s="67">
        <f>27.7723 * CHOOSE(CONTROL!$C$23, $C$13, 100%, $E$13)</f>
        <v>27.772300000000001</v>
      </c>
      <c r="J797" s="67">
        <f>14.9941 * CHOOSE(CONTROL!$C$23, $C$13, 100%, $E$13)</f>
        <v>14.9941</v>
      </c>
      <c r="K797" s="67">
        <f>14.9988 * CHOOSE(CONTROL!$C$23, $C$13, 100%, $E$13)</f>
        <v>14.998799999999999</v>
      </c>
    </row>
    <row r="798" spans="1:11" ht="15">
      <c r="A798" s="13">
        <v>65412</v>
      </c>
      <c r="B798" s="66">
        <f>13.1334 * CHOOSE(CONTROL!$C$23, $C$13, 100%, $E$13)</f>
        <v>13.1334</v>
      </c>
      <c r="C798" s="66">
        <f>13.1334 * CHOOSE(CONTROL!$C$23, $C$13, 100%, $E$13)</f>
        <v>13.1334</v>
      </c>
      <c r="D798" s="66">
        <f>13.1373 * CHOOSE(CONTROL!$C$23, $C$13, 100%, $E$13)</f>
        <v>13.1373</v>
      </c>
      <c r="E798" s="67">
        <f>14.7271 * CHOOSE(CONTROL!$C$23, $C$13, 100%, $E$13)</f>
        <v>14.7271</v>
      </c>
      <c r="F798" s="67">
        <f>14.7271 * CHOOSE(CONTROL!$C$23, $C$13, 100%, $E$13)</f>
        <v>14.7271</v>
      </c>
      <c r="G798" s="67">
        <f>14.7319 * CHOOSE(CONTROL!$C$23, $C$13, 100%, $E$13)</f>
        <v>14.7319</v>
      </c>
      <c r="H798" s="67">
        <f>27.8254* CHOOSE(CONTROL!$C$23, $C$13, 100%, $E$13)</f>
        <v>27.825399999999998</v>
      </c>
      <c r="I798" s="67">
        <f>27.8302 * CHOOSE(CONTROL!$C$23, $C$13, 100%, $E$13)</f>
        <v>27.830200000000001</v>
      </c>
      <c r="J798" s="67">
        <f>14.7271 * CHOOSE(CONTROL!$C$23, $C$13, 100%, $E$13)</f>
        <v>14.7271</v>
      </c>
      <c r="K798" s="67">
        <f>14.7319 * CHOOSE(CONTROL!$C$23, $C$13, 100%, $E$13)</f>
        <v>14.7319</v>
      </c>
    </row>
    <row r="799" spans="1:11" ht="15">
      <c r="A799" s="13">
        <v>65440</v>
      </c>
      <c r="B799" s="66">
        <f>13.1304 * CHOOSE(CONTROL!$C$23, $C$13, 100%, $E$13)</f>
        <v>13.1304</v>
      </c>
      <c r="C799" s="66">
        <f>13.1304 * CHOOSE(CONTROL!$C$23, $C$13, 100%, $E$13)</f>
        <v>13.1304</v>
      </c>
      <c r="D799" s="66">
        <f>13.1342 * CHOOSE(CONTROL!$C$23, $C$13, 100%, $E$13)</f>
        <v>13.1342</v>
      </c>
      <c r="E799" s="67">
        <f>14.9338 * CHOOSE(CONTROL!$C$23, $C$13, 100%, $E$13)</f>
        <v>14.9338</v>
      </c>
      <c r="F799" s="67">
        <f>14.9338 * CHOOSE(CONTROL!$C$23, $C$13, 100%, $E$13)</f>
        <v>14.9338</v>
      </c>
      <c r="G799" s="67">
        <f>14.9385 * CHOOSE(CONTROL!$C$23, $C$13, 100%, $E$13)</f>
        <v>14.938499999999999</v>
      </c>
      <c r="H799" s="67">
        <f>27.8834* CHOOSE(CONTROL!$C$23, $C$13, 100%, $E$13)</f>
        <v>27.883400000000002</v>
      </c>
      <c r="I799" s="67">
        <f>27.8881 * CHOOSE(CONTROL!$C$23, $C$13, 100%, $E$13)</f>
        <v>27.888100000000001</v>
      </c>
      <c r="J799" s="67">
        <f>14.9338 * CHOOSE(CONTROL!$C$23, $C$13, 100%, $E$13)</f>
        <v>14.9338</v>
      </c>
      <c r="K799" s="67">
        <f>14.9385 * CHOOSE(CONTROL!$C$23, $C$13, 100%, $E$13)</f>
        <v>14.938499999999999</v>
      </c>
    </row>
    <row r="800" spans="1:11" ht="15">
      <c r="A800" s="13">
        <v>65471</v>
      </c>
      <c r="B800" s="66">
        <f>13.1357 * CHOOSE(CONTROL!$C$23, $C$13, 100%, $E$13)</f>
        <v>13.1357</v>
      </c>
      <c r="C800" s="66">
        <f>13.1357 * CHOOSE(CONTROL!$C$23, $C$13, 100%, $E$13)</f>
        <v>13.1357</v>
      </c>
      <c r="D800" s="66">
        <f>13.1396 * CHOOSE(CONTROL!$C$23, $C$13, 100%, $E$13)</f>
        <v>13.1396</v>
      </c>
      <c r="E800" s="67">
        <f>15.1538 * CHOOSE(CONTROL!$C$23, $C$13, 100%, $E$13)</f>
        <v>15.1538</v>
      </c>
      <c r="F800" s="67">
        <f>15.1538 * CHOOSE(CONTROL!$C$23, $C$13, 100%, $E$13)</f>
        <v>15.1538</v>
      </c>
      <c r="G800" s="67">
        <f>15.1585 * CHOOSE(CONTROL!$C$23, $C$13, 100%, $E$13)</f>
        <v>15.1585</v>
      </c>
      <c r="H800" s="67">
        <f>27.9415* CHOOSE(CONTROL!$C$23, $C$13, 100%, $E$13)</f>
        <v>27.941500000000001</v>
      </c>
      <c r="I800" s="67">
        <f>27.9462 * CHOOSE(CONTROL!$C$23, $C$13, 100%, $E$13)</f>
        <v>27.946200000000001</v>
      </c>
      <c r="J800" s="67">
        <f>15.1538 * CHOOSE(CONTROL!$C$23, $C$13, 100%, $E$13)</f>
        <v>15.1538</v>
      </c>
      <c r="K800" s="67">
        <f>15.1585 * CHOOSE(CONTROL!$C$23, $C$13, 100%, $E$13)</f>
        <v>15.1585</v>
      </c>
    </row>
    <row r="801" spans="1:11" ht="15">
      <c r="A801" s="13">
        <v>65501</v>
      </c>
      <c r="B801" s="66">
        <f>13.1357 * CHOOSE(CONTROL!$C$23, $C$13, 100%, $E$13)</f>
        <v>13.1357</v>
      </c>
      <c r="C801" s="66">
        <f>13.1357 * CHOOSE(CONTROL!$C$23, $C$13, 100%, $E$13)</f>
        <v>13.1357</v>
      </c>
      <c r="D801" s="66">
        <f>13.1412 * CHOOSE(CONTROL!$C$23, $C$13, 100%, $E$13)</f>
        <v>13.1412</v>
      </c>
      <c r="E801" s="67">
        <f>15.2378 * CHOOSE(CONTROL!$C$23, $C$13, 100%, $E$13)</f>
        <v>15.2378</v>
      </c>
      <c r="F801" s="67">
        <f>15.2378 * CHOOSE(CONTROL!$C$23, $C$13, 100%, $E$13)</f>
        <v>15.2378</v>
      </c>
      <c r="G801" s="67">
        <f>15.2446 * CHOOSE(CONTROL!$C$23, $C$13, 100%, $E$13)</f>
        <v>15.2446</v>
      </c>
      <c r="H801" s="67">
        <f>27.9997* CHOOSE(CONTROL!$C$23, $C$13, 100%, $E$13)</f>
        <v>27.999700000000001</v>
      </c>
      <c r="I801" s="67">
        <f>28.0064 * CHOOSE(CONTROL!$C$23, $C$13, 100%, $E$13)</f>
        <v>28.006399999999999</v>
      </c>
      <c r="J801" s="67">
        <f>15.2378 * CHOOSE(CONTROL!$C$23, $C$13, 100%, $E$13)</f>
        <v>15.2378</v>
      </c>
      <c r="K801" s="67">
        <f>15.2446 * CHOOSE(CONTROL!$C$23, $C$13, 100%, $E$13)</f>
        <v>15.2446</v>
      </c>
    </row>
    <row r="802" spans="1:11" ht="15">
      <c r="A802" s="13">
        <v>65532</v>
      </c>
      <c r="B802" s="66">
        <f>13.1418 * CHOOSE(CONTROL!$C$23, $C$13, 100%, $E$13)</f>
        <v>13.1418</v>
      </c>
      <c r="C802" s="66">
        <f>13.1418 * CHOOSE(CONTROL!$C$23, $C$13, 100%, $E$13)</f>
        <v>13.1418</v>
      </c>
      <c r="D802" s="66">
        <f>13.1473 * CHOOSE(CONTROL!$C$23, $C$13, 100%, $E$13)</f>
        <v>13.1473</v>
      </c>
      <c r="E802" s="67">
        <f>15.158 * CHOOSE(CONTROL!$C$23, $C$13, 100%, $E$13)</f>
        <v>15.157999999999999</v>
      </c>
      <c r="F802" s="67">
        <f>15.158 * CHOOSE(CONTROL!$C$23, $C$13, 100%, $E$13)</f>
        <v>15.157999999999999</v>
      </c>
      <c r="G802" s="67">
        <f>15.1647 * CHOOSE(CONTROL!$C$23, $C$13, 100%, $E$13)</f>
        <v>15.1647</v>
      </c>
      <c r="H802" s="67">
        <f>28.058* CHOOSE(CONTROL!$C$23, $C$13, 100%, $E$13)</f>
        <v>28.058</v>
      </c>
      <c r="I802" s="67">
        <f>28.0647 * CHOOSE(CONTROL!$C$23, $C$13, 100%, $E$13)</f>
        <v>28.064699999999998</v>
      </c>
      <c r="J802" s="67">
        <f>15.158 * CHOOSE(CONTROL!$C$23, $C$13, 100%, $E$13)</f>
        <v>15.157999999999999</v>
      </c>
      <c r="K802" s="67">
        <f>15.1647 * CHOOSE(CONTROL!$C$23, $C$13, 100%, $E$13)</f>
        <v>15.1647</v>
      </c>
    </row>
    <row r="803" spans="1:11" ht="15">
      <c r="A803" s="13">
        <v>65562</v>
      </c>
      <c r="B803" s="66">
        <f>13.3417 * CHOOSE(CONTROL!$C$23, $C$13, 100%, $E$13)</f>
        <v>13.341699999999999</v>
      </c>
      <c r="C803" s="66">
        <f>13.3417 * CHOOSE(CONTROL!$C$23, $C$13, 100%, $E$13)</f>
        <v>13.341699999999999</v>
      </c>
      <c r="D803" s="66">
        <f>13.3472 * CHOOSE(CONTROL!$C$23, $C$13, 100%, $E$13)</f>
        <v>13.347200000000001</v>
      </c>
      <c r="E803" s="67">
        <f>15.3998 * CHOOSE(CONTROL!$C$23, $C$13, 100%, $E$13)</f>
        <v>15.399800000000001</v>
      </c>
      <c r="F803" s="67">
        <f>15.3998 * CHOOSE(CONTROL!$C$23, $C$13, 100%, $E$13)</f>
        <v>15.399800000000001</v>
      </c>
      <c r="G803" s="67">
        <f>15.4065 * CHOOSE(CONTROL!$C$23, $C$13, 100%, $E$13)</f>
        <v>15.406499999999999</v>
      </c>
      <c r="H803" s="67">
        <f>28.1165* CHOOSE(CONTROL!$C$23, $C$13, 100%, $E$13)</f>
        <v>28.116499999999998</v>
      </c>
      <c r="I803" s="67">
        <f>28.1232 * CHOOSE(CONTROL!$C$23, $C$13, 100%, $E$13)</f>
        <v>28.123200000000001</v>
      </c>
      <c r="J803" s="67">
        <f>15.3998 * CHOOSE(CONTROL!$C$23, $C$13, 100%, $E$13)</f>
        <v>15.399800000000001</v>
      </c>
      <c r="K803" s="67">
        <f>15.4065 * CHOOSE(CONTROL!$C$23, $C$13, 100%, $E$13)</f>
        <v>15.406499999999999</v>
      </c>
    </row>
    <row r="804" spans="1:11" ht="15">
      <c r="A804" s="13">
        <v>65593</v>
      </c>
      <c r="B804" s="66">
        <f>13.3484 * CHOOSE(CONTROL!$C$23, $C$13, 100%, $E$13)</f>
        <v>13.3484</v>
      </c>
      <c r="C804" s="66">
        <f>13.3484 * CHOOSE(CONTROL!$C$23, $C$13, 100%, $E$13)</f>
        <v>13.3484</v>
      </c>
      <c r="D804" s="66">
        <f>13.3539 * CHOOSE(CONTROL!$C$23, $C$13, 100%, $E$13)</f>
        <v>13.353899999999999</v>
      </c>
      <c r="E804" s="67">
        <f>15.1522 * CHOOSE(CONTROL!$C$23, $C$13, 100%, $E$13)</f>
        <v>15.152200000000001</v>
      </c>
      <c r="F804" s="67">
        <f>15.1522 * CHOOSE(CONTROL!$C$23, $C$13, 100%, $E$13)</f>
        <v>15.152200000000001</v>
      </c>
      <c r="G804" s="67">
        <f>15.1589 * CHOOSE(CONTROL!$C$23, $C$13, 100%, $E$13)</f>
        <v>15.158899999999999</v>
      </c>
      <c r="H804" s="67">
        <f>28.175* CHOOSE(CONTROL!$C$23, $C$13, 100%, $E$13)</f>
        <v>28.175000000000001</v>
      </c>
      <c r="I804" s="67">
        <f>28.1818 * CHOOSE(CONTROL!$C$23, $C$13, 100%, $E$13)</f>
        <v>28.181799999999999</v>
      </c>
      <c r="J804" s="67">
        <f>15.1522 * CHOOSE(CONTROL!$C$23, $C$13, 100%, $E$13)</f>
        <v>15.152200000000001</v>
      </c>
      <c r="K804" s="67">
        <f>15.1589 * CHOOSE(CONTROL!$C$23, $C$13, 100%, $E$13)</f>
        <v>15.158899999999999</v>
      </c>
    </row>
    <row r="805" spans="1:11" ht="15">
      <c r="A805" s="13">
        <v>65624</v>
      </c>
      <c r="B805" s="66">
        <f>13.3454 * CHOOSE(CONTROL!$C$23, $C$13, 100%, $E$13)</f>
        <v>13.3454</v>
      </c>
      <c r="C805" s="66">
        <f>13.3454 * CHOOSE(CONTROL!$C$23, $C$13, 100%, $E$13)</f>
        <v>13.3454</v>
      </c>
      <c r="D805" s="66">
        <f>13.3509 * CHOOSE(CONTROL!$C$23, $C$13, 100%, $E$13)</f>
        <v>13.350899999999999</v>
      </c>
      <c r="E805" s="67">
        <f>15.1221 * CHOOSE(CONTROL!$C$23, $C$13, 100%, $E$13)</f>
        <v>15.1221</v>
      </c>
      <c r="F805" s="67">
        <f>15.1221 * CHOOSE(CONTROL!$C$23, $C$13, 100%, $E$13)</f>
        <v>15.1221</v>
      </c>
      <c r="G805" s="67">
        <f>15.1288 * CHOOSE(CONTROL!$C$23, $C$13, 100%, $E$13)</f>
        <v>15.1288</v>
      </c>
      <c r="H805" s="67">
        <f>28.2337* CHOOSE(CONTROL!$C$23, $C$13, 100%, $E$13)</f>
        <v>28.233699999999999</v>
      </c>
      <c r="I805" s="67">
        <f>28.2405 * CHOOSE(CONTROL!$C$23, $C$13, 100%, $E$13)</f>
        <v>28.240500000000001</v>
      </c>
      <c r="J805" s="67">
        <f>15.1221 * CHOOSE(CONTROL!$C$23, $C$13, 100%, $E$13)</f>
        <v>15.1221</v>
      </c>
      <c r="K805" s="67">
        <f>15.1288 * CHOOSE(CONTROL!$C$23, $C$13, 100%, $E$13)</f>
        <v>15.1288</v>
      </c>
    </row>
    <row r="806" spans="1:11" ht="15">
      <c r="A806" s="13">
        <v>65654</v>
      </c>
      <c r="B806" s="66">
        <f>13.3705 * CHOOSE(CONTROL!$C$23, $C$13, 100%, $E$13)</f>
        <v>13.3705</v>
      </c>
      <c r="C806" s="66">
        <f>13.3705 * CHOOSE(CONTROL!$C$23, $C$13, 100%, $E$13)</f>
        <v>13.3705</v>
      </c>
      <c r="D806" s="66">
        <f>13.3744 * CHOOSE(CONTROL!$C$23, $C$13, 100%, $E$13)</f>
        <v>13.3744</v>
      </c>
      <c r="E806" s="67">
        <f>15.2207 * CHOOSE(CONTROL!$C$23, $C$13, 100%, $E$13)</f>
        <v>15.220700000000001</v>
      </c>
      <c r="F806" s="67">
        <f>15.2207 * CHOOSE(CONTROL!$C$23, $C$13, 100%, $E$13)</f>
        <v>15.220700000000001</v>
      </c>
      <c r="G806" s="67">
        <f>15.2255 * CHOOSE(CONTROL!$C$23, $C$13, 100%, $E$13)</f>
        <v>15.2255</v>
      </c>
      <c r="H806" s="67">
        <f>28.2926* CHOOSE(CONTROL!$C$23, $C$13, 100%, $E$13)</f>
        <v>28.2926</v>
      </c>
      <c r="I806" s="67">
        <f>28.2973 * CHOOSE(CONTROL!$C$23, $C$13, 100%, $E$13)</f>
        <v>28.2973</v>
      </c>
      <c r="J806" s="67">
        <f>15.2207 * CHOOSE(CONTROL!$C$23, $C$13, 100%, $E$13)</f>
        <v>15.220700000000001</v>
      </c>
      <c r="K806" s="67">
        <f>15.2255 * CHOOSE(CONTROL!$C$23, $C$13, 100%, $E$13)</f>
        <v>15.2255</v>
      </c>
    </row>
    <row r="807" spans="1:11" ht="15">
      <c r="A807" s="13">
        <v>65685</v>
      </c>
      <c r="B807" s="66">
        <f>13.3736 * CHOOSE(CONTROL!$C$23, $C$13, 100%, $E$13)</f>
        <v>13.3736</v>
      </c>
      <c r="C807" s="66">
        <f>13.3736 * CHOOSE(CONTROL!$C$23, $C$13, 100%, $E$13)</f>
        <v>13.3736</v>
      </c>
      <c r="D807" s="66">
        <f>13.3774 * CHOOSE(CONTROL!$C$23, $C$13, 100%, $E$13)</f>
        <v>13.3774</v>
      </c>
      <c r="E807" s="67">
        <f>15.2789 * CHOOSE(CONTROL!$C$23, $C$13, 100%, $E$13)</f>
        <v>15.2789</v>
      </c>
      <c r="F807" s="67">
        <f>15.2789 * CHOOSE(CONTROL!$C$23, $C$13, 100%, $E$13)</f>
        <v>15.2789</v>
      </c>
      <c r="G807" s="67">
        <f>15.2837 * CHOOSE(CONTROL!$C$23, $C$13, 100%, $E$13)</f>
        <v>15.2837</v>
      </c>
      <c r="H807" s="67">
        <f>28.3515* CHOOSE(CONTROL!$C$23, $C$13, 100%, $E$13)</f>
        <v>28.351500000000001</v>
      </c>
      <c r="I807" s="67">
        <f>28.3563 * CHOOSE(CONTROL!$C$23, $C$13, 100%, $E$13)</f>
        <v>28.356300000000001</v>
      </c>
      <c r="J807" s="67">
        <f>15.2789 * CHOOSE(CONTROL!$C$23, $C$13, 100%, $E$13)</f>
        <v>15.2789</v>
      </c>
      <c r="K807" s="67">
        <f>15.2837 * CHOOSE(CONTROL!$C$23, $C$13, 100%, $E$13)</f>
        <v>15.2837</v>
      </c>
    </row>
    <row r="808" spans="1:11" ht="15">
      <c r="A808" s="13">
        <v>65715</v>
      </c>
      <c r="B808" s="66">
        <f>13.3736 * CHOOSE(CONTROL!$C$23, $C$13, 100%, $E$13)</f>
        <v>13.3736</v>
      </c>
      <c r="C808" s="66">
        <f>13.3736 * CHOOSE(CONTROL!$C$23, $C$13, 100%, $E$13)</f>
        <v>13.3736</v>
      </c>
      <c r="D808" s="66">
        <f>13.3774 * CHOOSE(CONTROL!$C$23, $C$13, 100%, $E$13)</f>
        <v>13.3774</v>
      </c>
      <c r="E808" s="67">
        <f>15.1388 * CHOOSE(CONTROL!$C$23, $C$13, 100%, $E$13)</f>
        <v>15.1388</v>
      </c>
      <c r="F808" s="67">
        <f>15.1388 * CHOOSE(CONTROL!$C$23, $C$13, 100%, $E$13)</f>
        <v>15.1388</v>
      </c>
      <c r="G808" s="67">
        <f>15.1436 * CHOOSE(CONTROL!$C$23, $C$13, 100%, $E$13)</f>
        <v>15.143599999999999</v>
      </c>
      <c r="H808" s="67">
        <f>28.4106* CHOOSE(CONTROL!$C$23, $C$13, 100%, $E$13)</f>
        <v>28.410599999999999</v>
      </c>
      <c r="I808" s="67">
        <f>28.4153 * CHOOSE(CONTROL!$C$23, $C$13, 100%, $E$13)</f>
        <v>28.415299999999998</v>
      </c>
      <c r="J808" s="67">
        <f>15.1388 * CHOOSE(CONTROL!$C$23, $C$13, 100%, $E$13)</f>
        <v>15.1388</v>
      </c>
      <c r="K808" s="67">
        <f>15.1436 * CHOOSE(CONTROL!$C$23, $C$13, 100%, $E$13)</f>
        <v>15.143599999999999</v>
      </c>
    </row>
    <row r="809" spans="1:11" ht="15">
      <c r="A809" s="13">
        <v>65746</v>
      </c>
      <c r="B809" s="66">
        <f>13.372 * CHOOSE(CONTROL!$C$23, $C$13, 100%, $E$13)</f>
        <v>13.372</v>
      </c>
      <c r="C809" s="66">
        <f>13.372 * CHOOSE(CONTROL!$C$23, $C$13, 100%, $E$13)</f>
        <v>13.372</v>
      </c>
      <c r="D809" s="66">
        <f>13.3759 * CHOOSE(CONTROL!$C$23, $C$13, 100%, $E$13)</f>
        <v>13.3759</v>
      </c>
      <c r="E809" s="67">
        <f>15.2488 * CHOOSE(CONTROL!$C$23, $C$13, 100%, $E$13)</f>
        <v>15.248799999999999</v>
      </c>
      <c r="F809" s="67">
        <f>15.2488 * CHOOSE(CONTROL!$C$23, $C$13, 100%, $E$13)</f>
        <v>15.248799999999999</v>
      </c>
      <c r="G809" s="67">
        <f>15.2536 * CHOOSE(CONTROL!$C$23, $C$13, 100%, $E$13)</f>
        <v>15.2536</v>
      </c>
      <c r="H809" s="67">
        <f>28.2501* CHOOSE(CONTROL!$C$23, $C$13, 100%, $E$13)</f>
        <v>28.2501</v>
      </c>
      <c r="I809" s="67">
        <f>28.2549 * CHOOSE(CONTROL!$C$23, $C$13, 100%, $E$13)</f>
        <v>28.254899999999999</v>
      </c>
      <c r="J809" s="67">
        <f>15.2488 * CHOOSE(CONTROL!$C$23, $C$13, 100%, $E$13)</f>
        <v>15.248799999999999</v>
      </c>
      <c r="K809" s="67">
        <f>15.2536 * CHOOSE(CONTROL!$C$23, $C$13, 100%, $E$13)</f>
        <v>15.2536</v>
      </c>
    </row>
    <row r="810" spans="1:11" ht="15">
      <c r="A810" s="13">
        <v>65777</v>
      </c>
      <c r="B810" s="66">
        <f>13.369 * CHOOSE(CONTROL!$C$23, $C$13, 100%, $E$13)</f>
        <v>13.369</v>
      </c>
      <c r="C810" s="66">
        <f>13.369 * CHOOSE(CONTROL!$C$23, $C$13, 100%, $E$13)</f>
        <v>13.369</v>
      </c>
      <c r="D810" s="66">
        <f>13.3729 * CHOOSE(CONTROL!$C$23, $C$13, 100%, $E$13)</f>
        <v>13.3729</v>
      </c>
      <c r="E810" s="67">
        <f>14.9769 * CHOOSE(CONTROL!$C$23, $C$13, 100%, $E$13)</f>
        <v>14.976900000000001</v>
      </c>
      <c r="F810" s="67">
        <f>14.9769 * CHOOSE(CONTROL!$C$23, $C$13, 100%, $E$13)</f>
        <v>14.976900000000001</v>
      </c>
      <c r="G810" s="67">
        <f>14.9817 * CHOOSE(CONTROL!$C$23, $C$13, 100%, $E$13)</f>
        <v>14.9817</v>
      </c>
      <c r="H810" s="67">
        <f>28.309* CHOOSE(CONTROL!$C$23, $C$13, 100%, $E$13)</f>
        <v>28.309000000000001</v>
      </c>
      <c r="I810" s="67">
        <f>28.3137 * CHOOSE(CONTROL!$C$23, $C$13, 100%, $E$13)</f>
        <v>28.313700000000001</v>
      </c>
      <c r="J810" s="67">
        <f>14.9769 * CHOOSE(CONTROL!$C$23, $C$13, 100%, $E$13)</f>
        <v>14.976900000000001</v>
      </c>
      <c r="K810" s="67">
        <f>14.9817 * CHOOSE(CONTROL!$C$23, $C$13, 100%, $E$13)</f>
        <v>14.9817</v>
      </c>
    </row>
    <row r="811" spans="1:11" ht="15">
      <c r="A811" s="13">
        <v>65806</v>
      </c>
      <c r="B811" s="66">
        <f>13.3659 * CHOOSE(CONTROL!$C$23, $C$13, 100%, $E$13)</f>
        <v>13.3659</v>
      </c>
      <c r="C811" s="66">
        <f>13.3659 * CHOOSE(CONTROL!$C$23, $C$13, 100%, $E$13)</f>
        <v>13.3659</v>
      </c>
      <c r="D811" s="66">
        <f>13.3698 * CHOOSE(CONTROL!$C$23, $C$13, 100%, $E$13)</f>
        <v>13.3698</v>
      </c>
      <c r="E811" s="67">
        <f>15.1874 * CHOOSE(CONTROL!$C$23, $C$13, 100%, $E$13)</f>
        <v>15.1874</v>
      </c>
      <c r="F811" s="67">
        <f>15.1874 * CHOOSE(CONTROL!$C$23, $C$13, 100%, $E$13)</f>
        <v>15.1874</v>
      </c>
      <c r="G811" s="67">
        <f>15.1922 * CHOOSE(CONTROL!$C$23, $C$13, 100%, $E$13)</f>
        <v>15.1922</v>
      </c>
      <c r="H811" s="67">
        <f>28.3679* CHOOSE(CONTROL!$C$23, $C$13, 100%, $E$13)</f>
        <v>28.367899999999999</v>
      </c>
      <c r="I811" s="67">
        <f>28.3727 * CHOOSE(CONTROL!$C$23, $C$13, 100%, $E$13)</f>
        <v>28.372699999999998</v>
      </c>
      <c r="J811" s="67">
        <f>15.1874 * CHOOSE(CONTROL!$C$23, $C$13, 100%, $E$13)</f>
        <v>15.1874</v>
      </c>
      <c r="K811" s="67">
        <f>15.1922 * CHOOSE(CONTROL!$C$23, $C$13, 100%, $E$13)</f>
        <v>15.1922</v>
      </c>
    </row>
    <row r="812" spans="1:11" ht="15">
      <c r="A812" s="13">
        <v>65837</v>
      </c>
      <c r="B812" s="66">
        <f>13.3715 * CHOOSE(CONTROL!$C$23, $C$13, 100%, $E$13)</f>
        <v>13.371499999999999</v>
      </c>
      <c r="C812" s="66">
        <f>13.3715 * CHOOSE(CONTROL!$C$23, $C$13, 100%, $E$13)</f>
        <v>13.371499999999999</v>
      </c>
      <c r="D812" s="66">
        <f>13.3753 * CHOOSE(CONTROL!$C$23, $C$13, 100%, $E$13)</f>
        <v>13.375299999999999</v>
      </c>
      <c r="E812" s="67">
        <f>15.4116 * CHOOSE(CONTROL!$C$23, $C$13, 100%, $E$13)</f>
        <v>15.4116</v>
      </c>
      <c r="F812" s="67">
        <f>15.4116 * CHOOSE(CONTROL!$C$23, $C$13, 100%, $E$13)</f>
        <v>15.4116</v>
      </c>
      <c r="G812" s="67">
        <f>15.4164 * CHOOSE(CONTROL!$C$23, $C$13, 100%, $E$13)</f>
        <v>15.416399999999999</v>
      </c>
      <c r="H812" s="67">
        <f>28.427* CHOOSE(CONTROL!$C$23, $C$13, 100%, $E$13)</f>
        <v>28.427</v>
      </c>
      <c r="I812" s="67">
        <f>28.4318 * CHOOSE(CONTROL!$C$23, $C$13, 100%, $E$13)</f>
        <v>28.431799999999999</v>
      </c>
      <c r="J812" s="67">
        <f>15.4116 * CHOOSE(CONTROL!$C$23, $C$13, 100%, $E$13)</f>
        <v>15.4116</v>
      </c>
      <c r="K812" s="67">
        <f>15.4164 * CHOOSE(CONTROL!$C$23, $C$13, 100%, $E$13)</f>
        <v>15.416399999999999</v>
      </c>
    </row>
    <row r="813" spans="1:11" ht="15">
      <c r="A813" s="13">
        <v>65867</v>
      </c>
      <c r="B813" s="66">
        <f>13.3715 * CHOOSE(CONTROL!$C$23, $C$13, 100%, $E$13)</f>
        <v>13.371499999999999</v>
      </c>
      <c r="C813" s="66">
        <f>13.3715 * CHOOSE(CONTROL!$C$23, $C$13, 100%, $E$13)</f>
        <v>13.371499999999999</v>
      </c>
      <c r="D813" s="66">
        <f>13.377 * CHOOSE(CONTROL!$C$23, $C$13, 100%, $E$13)</f>
        <v>13.377000000000001</v>
      </c>
      <c r="E813" s="67">
        <f>15.4973 * CHOOSE(CONTROL!$C$23, $C$13, 100%, $E$13)</f>
        <v>15.497299999999999</v>
      </c>
      <c r="F813" s="67">
        <f>15.4973 * CHOOSE(CONTROL!$C$23, $C$13, 100%, $E$13)</f>
        <v>15.497299999999999</v>
      </c>
      <c r="G813" s="67">
        <f>15.504 * CHOOSE(CONTROL!$C$23, $C$13, 100%, $E$13)</f>
        <v>15.504</v>
      </c>
      <c r="H813" s="67">
        <f>28.4863* CHOOSE(CONTROL!$C$23, $C$13, 100%, $E$13)</f>
        <v>28.4863</v>
      </c>
      <c r="I813" s="67">
        <f>28.493 * CHOOSE(CONTROL!$C$23, $C$13, 100%, $E$13)</f>
        <v>28.492999999999999</v>
      </c>
      <c r="J813" s="67">
        <f>15.4973 * CHOOSE(CONTROL!$C$23, $C$13, 100%, $E$13)</f>
        <v>15.497299999999999</v>
      </c>
      <c r="K813" s="67">
        <f>15.504 * CHOOSE(CONTROL!$C$23, $C$13, 100%, $E$13)</f>
        <v>15.504</v>
      </c>
    </row>
    <row r="814" spans="1:11" ht="15">
      <c r="A814" s="13">
        <v>65898</v>
      </c>
      <c r="B814" s="66">
        <f>13.3775 * CHOOSE(CONTROL!$C$23, $C$13, 100%, $E$13)</f>
        <v>13.3775</v>
      </c>
      <c r="C814" s="66">
        <f>13.3775 * CHOOSE(CONTROL!$C$23, $C$13, 100%, $E$13)</f>
        <v>13.3775</v>
      </c>
      <c r="D814" s="66">
        <f>13.383 * CHOOSE(CONTROL!$C$23, $C$13, 100%, $E$13)</f>
        <v>13.382999999999999</v>
      </c>
      <c r="E814" s="67">
        <f>15.4159 * CHOOSE(CONTROL!$C$23, $C$13, 100%, $E$13)</f>
        <v>15.415900000000001</v>
      </c>
      <c r="F814" s="67">
        <f>15.4159 * CHOOSE(CONTROL!$C$23, $C$13, 100%, $E$13)</f>
        <v>15.415900000000001</v>
      </c>
      <c r="G814" s="67">
        <f>15.4226 * CHOOSE(CONTROL!$C$23, $C$13, 100%, $E$13)</f>
        <v>15.422599999999999</v>
      </c>
      <c r="H814" s="67">
        <f>28.5456* CHOOSE(CONTROL!$C$23, $C$13, 100%, $E$13)</f>
        <v>28.5456</v>
      </c>
      <c r="I814" s="67">
        <f>28.5523 * CHOOSE(CONTROL!$C$23, $C$13, 100%, $E$13)</f>
        <v>28.552299999999999</v>
      </c>
      <c r="J814" s="67">
        <f>15.4159 * CHOOSE(CONTROL!$C$23, $C$13, 100%, $E$13)</f>
        <v>15.415900000000001</v>
      </c>
      <c r="K814" s="67">
        <f>15.4226 * CHOOSE(CONTROL!$C$23, $C$13, 100%, $E$13)</f>
        <v>15.422599999999999</v>
      </c>
    </row>
    <row r="815" spans="1:11" ht="15">
      <c r="A815" s="13">
        <v>65928</v>
      </c>
      <c r="B815" s="66">
        <f>13.5809 * CHOOSE(CONTROL!$C$23, $C$13, 100%, $E$13)</f>
        <v>13.5809</v>
      </c>
      <c r="C815" s="66">
        <f>13.5809 * CHOOSE(CONTROL!$C$23, $C$13, 100%, $E$13)</f>
        <v>13.5809</v>
      </c>
      <c r="D815" s="66">
        <f>13.5864 * CHOOSE(CONTROL!$C$23, $C$13, 100%, $E$13)</f>
        <v>13.586399999999999</v>
      </c>
      <c r="E815" s="67">
        <f>15.6616 * CHOOSE(CONTROL!$C$23, $C$13, 100%, $E$13)</f>
        <v>15.6616</v>
      </c>
      <c r="F815" s="67">
        <f>15.6616 * CHOOSE(CONTROL!$C$23, $C$13, 100%, $E$13)</f>
        <v>15.6616</v>
      </c>
      <c r="G815" s="67">
        <f>15.6683 * CHOOSE(CONTROL!$C$23, $C$13, 100%, $E$13)</f>
        <v>15.6683</v>
      </c>
      <c r="H815" s="67">
        <f>28.6051* CHOOSE(CONTROL!$C$23, $C$13, 100%, $E$13)</f>
        <v>28.6051</v>
      </c>
      <c r="I815" s="67">
        <f>28.6118 * CHOOSE(CONTROL!$C$23, $C$13, 100%, $E$13)</f>
        <v>28.611799999999999</v>
      </c>
      <c r="J815" s="67">
        <f>15.6616 * CHOOSE(CONTROL!$C$23, $C$13, 100%, $E$13)</f>
        <v>15.6616</v>
      </c>
      <c r="K815" s="67">
        <f>15.6683 * CHOOSE(CONTROL!$C$23, $C$13, 100%, $E$13)</f>
        <v>15.6683</v>
      </c>
    </row>
    <row r="816" spans="1:11" ht="15">
      <c r="A816" s="13">
        <v>65959</v>
      </c>
      <c r="B816" s="66">
        <f>13.5876 * CHOOSE(CONTROL!$C$23, $C$13, 100%, $E$13)</f>
        <v>13.5876</v>
      </c>
      <c r="C816" s="66">
        <f>13.5876 * CHOOSE(CONTROL!$C$23, $C$13, 100%, $E$13)</f>
        <v>13.5876</v>
      </c>
      <c r="D816" s="66">
        <f>13.5931 * CHOOSE(CONTROL!$C$23, $C$13, 100%, $E$13)</f>
        <v>13.5931</v>
      </c>
      <c r="E816" s="67">
        <f>15.4093 * CHOOSE(CONTROL!$C$23, $C$13, 100%, $E$13)</f>
        <v>15.4093</v>
      </c>
      <c r="F816" s="67">
        <f>15.4093 * CHOOSE(CONTROL!$C$23, $C$13, 100%, $E$13)</f>
        <v>15.4093</v>
      </c>
      <c r="G816" s="67">
        <f>15.416 * CHOOSE(CONTROL!$C$23, $C$13, 100%, $E$13)</f>
        <v>15.416</v>
      </c>
      <c r="H816" s="67">
        <f>28.6647* CHOOSE(CONTROL!$C$23, $C$13, 100%, $E$13)</f>
        <v>28.6647</v>
      </c>
      <c r="I816" s="67">
        <f>28.6714 * CHOOSE(CONTROL!$C$23, $C$13, 100%, $E$13)</f>
        <v>28.671399999999998</v>
      </c>
      <c r="J816" s="67">
        <f>15.4093 * CHOOSE(CONTROL!$C$23, $C$13, 100%, $E$13)</f>
        <v>15.4093</v>
      </c>
      <c r="K816" s="67">
        <f>15.416 * CHOOSE(CONTROL!$C$23, $C$13, 100%, $E$13)</f>
        <v>15.416</v>
      </c>
    </row>
    <row r="817" spans="1:11" ht="15">
      <c r="A817" s="13">
        <v>65990</v>
      </c>
      <c r="B817" s="66">
        <f>13.5845 * CHOOSE(CONTROL!$C$23, $C$13, 100%, $E$13)</f>
        <v>13.5845</v>
      </c>
      <c r="C817" s="66">
        <f>13.5845 * CHOOSE(CONTROL!$C$23, $C$13, 100%, $E$13)</f>
        <v>13.5845</v>
      </c>
      <c r="D817" s="66">
        <f>13.59 * CHOOSE(CONTROL!$C$23, $C$13, 100%, $E$13)</f>
        <v>13.59</v>
      </c>
      <c r="E817" s="67">
        <f>15.3786 * CHOOSE(CONTROL!$C$23, $C$13, 100%, $E$13)</f>
        <v>15.3786</v>
      </c>
      <c r="F817" s="67">
        <f>15.3786 * CHOOSE(CONTROL!$C$23, $C$13, 100%, $E$13)</f>
        <v>15.3786</v>
      </c>
      <c r="G817" s="67">
        <f>15.3853 * CHOOSE(CONTROL!$C$23, $C$13, 100%, $E$13)</f>
        <v>15.385300000000001</v>
      </c>
      <c r="H817" s="67">
        <f>28.7244* CHOOSE(CONTROL!$C$23, $C$13, 100%, $E$13)</f>
        <v>28.724399999999999</v>
      </c>
      <c r="I817" s="67">
        <f>28.7311 * CHOOSE(CONTROL!$C$23, $C$13, 100%, $E$13)</f>
        <v>28.731100000000001</v>
      </c>
      <c r="J817" s="67">
        <f>15.3786 * CHOOSE(CONTROL!$C$23, $C$13, 100%, $E$13)</f>
        <v>15.3786</v>
      </c>
      <c r="K817" s="67">
        <f>15.3853 * CHOOSE(CONTROL!$C$23, $C$13, 100%, $E$13)</f>
        <v>15.385300000000001</v>
      </c>
    </row>
    <row r="818" spans="1:11" ht="15">
      <c r="A818" s="13">
        <v>66020</v>
      </c>
      <c r="B818" s="66">
        <f>13.6105 * CHOOSE(CONTROL!$C$23, $C$13, 100%, $E$13)</f>
        <v>13.6105</v>
      </c>
      <c r="C818" s="66">
        <f>13.6105 * CHOOSE(CONTROL!$C$23, $C$13, 100%, $E$13)</f>
        <v>13.6105</v>
      </c>
      <c r="D818" s="66">
        <f>13.6143 * CHOOSE(CONTROL!$C$23, $C$13, 100%, $E$13)</f>
        <v>13.6143</v>
      </c>
      <c r="E818" s="67">
        <f>15.4794 * CHOOSE(CONTROL!$C$23, $C$13, 100%, $E$13)</f>
        <v>15.4794</v>
      </c>
      <c r="F818" s="67">
        <f>15.4794 * CHOOSE(CONTROL!$C$23, $C$13, 100%, $E$13)</f>
        <v>15.4794</v>
      </c>
      <c r="G818" s="67">
        <f>15.4842 * CHOOSE(CONTROL!$C$23, $C$13, 100%, $E$13)</f>
        <v>15.4842</v>
      </c>
      <c r="H818" s="67">
        <f>28.7842* CHOOSE(CONTROL!$C$23, $C$13, 100%, $E$13)</f>
        <v>28.784199999999998</v>
      </c>
      <c r="I818" s="67">
        <f>28.789 * CHOOSE(CONTROL!$C$23, $C$13, 100%, $E$13)</f>
        <v>28.789000000000001</v>
      </c>
      <c r="J818" s="67">
        <f>15.4794 * CHOOSE(CONTROL!$C$23, $C$13, 100%, $E$13)</f>
        <v>15.4794</v>
      </c>
      <c r="K818" s="67">
        <f>15.4842 * CHOOSE(CONTROL!$C$23, $C$13, 100%, $E$13)</f>
        <v>15.4842</v>
      </c>
    </row>
    <row r="819" spans="1:11" ht="15">
      <c r="A819" s="13">
        <v>66051</v>
      </c>
      <c r="B819" s="66">
        <f>13.6135 * CHOOSE(CONTROL!$C$23, $C$13, 100%, $E$13)</f>
        <v>13.6135</v>
      </c>
      <c r="C819" s="66">
        <f>13.6135 * CHOOSE(CONTROL!$C$23, $C$13, 100%, $E$13)</f>
        <v>13.6135</v>
      </c>
      <c r="D819" s="66">
        <f>13.6174 * CHOOSE(CONTROL!$C$23, $C$13, 100%, $E$13)</f>
        <v>13.6174</v>
      </c>
      <c r="E819" s="67">
        <f>15.5386 * CHOOSE(CONTROL!$C$23, $C$13, 100%, $E$13)</f>
        <v>15.538600000000001</v>
      </c>
      <c r="F819" s="67">
        <f>15.5386 * CHOOSE(CONTROL!$C$23, $C$13, 100%, $E$13)</f>
        <v>15.538600000000001</v>
      </c>
      <c r="G819" s="67">
        <f>15.5434 * CHOOSE(CONTROL!$C$23, $C$13, 100%, $E$13)</f>
        <v>15.5434</v>
      </c>
      <c r="H819" s="67">
        <f>28.8442* CHOOSE(CONTROL!$C$23, $C$13, 100%, $E$13)</f>
        <v>28.844200000000001</v>
      </c>
      <c r="I819" s="67">
        <f>28.849 * CHOOSE(CONTROL!$C$23, $C$13, 100%, $E$13)</f>
        <v>28.849</v>
      </c>
      <c r="J819" s="67">
        <f>15.5386 * CHOOSE(CONTROL!$C$23, $C$13, 100%, $E$13)</f>
        <v>15.538600000000001</v>
      </c>
      <c r="K819" s="67">
        <f>15.5434 * CHOOSE(CONTROL!$C$23, $C$13, 100%, $E$13)</f>
        <v>15.5434</v>
      </c>
    </row>
    <row r="820" spans="1:11" ht="15">
      <c r="A820" s="13">
        <v>66081</v>
      </c>
      <c r="B820" s="66">
        <f>13.6135 * CHOOSE(CONTROL!$C$23, $C$13, 100%, $E$13)</f>
        <v>13.6135</v>
      </c>
      <c r="C820" s="66">
        <f>13.6135 * CHOOSE(CONTROL!$C$23, $C$13, 100%, $E$13)</f>
        <v>13.6135</v>
      </c>
      <c r="D820" s="66">
        <f>13.6174 * CHOOSE(CONTROL!$C$23, $C$13, 100%, $E$13)</f>
        <v>13.6174</v>
      </c>
      <c r="E820" s="67">
        <f>15.3959 * CHOOSE(CONTROL!$C$23, $C$13, 100%, $E$13)</f>
        <v>15.395899999999999</v>
      </c>
      <c r="F820" s="67">
        <f>15.3959 * CHOOSE(CONTROL!$C$23, $C$13, 100%, $E$13)</f>
        <v>15.395899999999999</v>
      </c>
      <c r="G820" s="67">
        <f>15.4006 * CHOOSE(CONTROL!$C$23, $C$13, 100%, $E$13)</f>
        <v>15.400600000000001</v>
      </c>
      <c r="H820" s="67">
        <f>28.9043* CHOOSE(CONTROL!$C$23, $C$13, 100%, $E$13)</f>
        <v>28.904299999999999</v>
      </c>
      <c r="I820" s="67">
        <f>28.9091 * CHOOSE(CONTROL!$C$23, $C$13, 100%, $E$13)</f>
        <v>28.909099999999999</v>
      </c>
      <c r="J820" s="67">
        <f>15.3959 * CHOOSE(CONTROL!$C$23, $C$13, 100%, $E$13)</f>
        <v>15.395899999999999</v>
      </c>
      <c r="K820" s="67">
        <f>15.4006 * CHOOSE(CONTROL!$C$23, $C$13, 100%, $E$13)</f>
        <v>15.400600000000001</v>
      </c>
    </row>
    <row r="821" spans="1:11" ht="15">
      <c r="A821" s="13">
        <v>66112</v>
      </c>
      <c r="B821" s="66">
        <f>13.6076 * CHOOSE(CONTROL!$C$23, $C$13, 100%, $E$13)</f>
        <v>13.6076</v>
      </c>
      <c r="C821" s="66">
        <f>13.6076 * CHOOSE(CONTROL!$C$23, $C$13, 100%, $E$13)</f>
        <v>13.6076</v>
      </c>
      <c r="D821" s="66">
        <f>13.6115 * CHOOSE(CONTROL!$C$23, $C$13, 100%, $E$13)</f>
        <v>13.611499999999999</v>
      </c>
      <c r="E821" s="67">
        <f>15.5035 * CHOOSE(CONTROL!$C$23, $C$13, 100%, $E$13)</f>
        <v>15.503500000000001</v>
      </c>
      <c r="F821" s="67">
        <f>15.5035 * CHOOSE(CONTROL!$C$23, $C$13, 100%, $E$13)</f>
        <v>15.503500000000001</v>
      </c>
      <c r="G821" s="67">
        <f>15.5083 * CHOOSE(CONTROL!$C$23, $C$13, 100%, $E$13)</f>
        <v>15.5083</v>
      </c>
      <c r="H821" s="67">
        <f>28.7326* CHOOSE(CONTROL!$C$23, $C$13, 100%, $E$13)</f>
        <v>28.732600000000001</v>
      </c>
      <c r="I821" s="67">
        <f>28.7374 * CHOOSE(CONTROL!$C$23, $C$13, 100%, $E$13)</f>
        <v>28.737400000000001</v>
      </c>
      <c r="J821" s="67">
        <f>15.5035 * CHOOSE(CONTROL!$C$23, $C$13, 100%, $E$13)</f>
        <v>15.503500000000001</v>
      </c>
      <c r="K821" s="67">
        <f>15.5083 * CHOOSE(CONTROL!$C$23, $C$13, 100%, $E$13)</f>
        <v>15.5083</v>
      </c>
    </row>
    <row r="822" spans="1:11" ht="15">
      <c r="A822" s="13">
        <v>66143</v>
      </c>
      <c r="B822" s="66">
        <f>13.6046 * CHOOSE(CONTROL!$C$23, $C$13, 100%, $E$13)</f>
        <v>13.6046</v>
      </c>
      <c r="C822" s="66">
        <f>13.6046 * CHOOSE(CONTROL!$C$23, $C$13, 100%, $E$13)</f>
        <v>13.6046</v>
      </c>
      <c r="D822" s="66">
        <f>13.6084 * CHOOSE(CONTROL!$C$23, $C$13, 100%, $E$13)</f>
        <v>13.6084</v>
      </c>
      <c r="E822" s="67">
        <f>15.2267 * CHOOSE(CONTROL!$C$23, $C$13, 100%, $E$13)</f>
        <v>15.226699999999999</v>
      </c>
      <c r="F822" s="67">
        <f>15.2267 * CHOOSE(CONTROL!$C$23, $C$13, 100%, $E$13)</f>
        <v>15.226699999999999</v>
      </c>
      <c r="G822" s="67">
        <f>15.2314 * CHOOSE(CONTROL!$C$23, $C$13, 100%, $E$13)</f>
        <v>15.231400000000001</v>
      </c>
      <c r="H822" s="67">
        <f>28.7925* CHOOSE(CONTROL!$C$23, $C$13, 100%, $E$13)</f>
        <v>28.7925</v>
      </c>
      <c r="I822" s="67">
        <f>28.7973 * CHOOSE(CONTROL!$C$23, $C$13, 100%, $E$13)</f>
        <v>28.7973</v>
      </c>
      <c r="J822" s="67">
        <f>15.2267 * CHOOSE(CONTROL!$C$23, $C$13, 100%, $E$13)</f>
        <v>15.226699999999999</v>
      </c>
      <c r="K822" s="67">
        <f>15.2314 * CHOOSE(CONTROL!$C$23, $C$13, 100%, $E$13)</f>
        <v>15.231400000000001</v>
      </c>
    </row>
    <row r="823" spans="1:11" ht="15">
      <c r="A823" s="13">
        <v>66171</v>
      </c>
      <c r="B823" s="66">
        <f>13.6015 * CHOOSE(CONTROL!$C$23, $C$13, 100%, $E$13)</f>
        <v>13.6015</v>
      </c>
      <c r="C823" s="66">
        <f>13.6015 * CHOOSE(CONTROL!$C$23, $C$13, 100%, $E$13)</f>
        <v>13.6015</v>
      </c>
      <c r="D823" s="66">
        <f>13.6054 * CHOOSE(CONTROL!$C$23, $C$13, 100%, $E$13)</f>
        <v>13.605399999999999</v>
      </c>
      <c r="E823" s="67">
        <f>15.4411 * CHOOSE(CONTROL!$C$23, $C$13, 100%, $E$13)</f>
        <v>15.4411</v>
      </c>
      <c r="F823" s="67">
        <f>15.4411 * CHOOSE(CONTROL!$C$23, $C$13, 100%, $E$13)</f>
        <v>15.4411</v>
      </c>
      <c r="G823" s="67">
        <f>15.4459 * CHOOSE(CONTROL!$C$23, $C$13, 100%, $E$13)</f>
        <v>15.4459</v>
      </c>
      <c r="H823" s="67">
        <f>28.8525* CHOOSE(CONTROL!$C$23, $C$13, 100%, $E$13)</f>
        <v>28.852499999999999</v>
      </c>
      <c r="I823" s="67">
        <f>28.8573 * CHOOSE(CONTROL!$C$23, $C$13, 100%, $E$13)</f>
        <v>28.857299999999999</v>
      </c>
      <c r="J823" s="67">
        <f>15.4411 * CHOOSE(CONTROL!$C$23, $C$13, 100%, $E$13)</f>
        <v>15.4411</v>
      </c>
      <c r="K823" s="67">
        <f>15.4459 * CHOOSE(CONTROL!$C$23, $C$13, 100%, $E$13)</f>
        <v>15.4459</v>
      </c>
    </row>
    <row r="824" spans="1:11" ht="15">
      <c r="A824" s="13">
        <v>66202</v>
      </c>
      <c r="B824" s="66">
        <f>13.6072 * CHOOSE(CONTROL!$C$23, $C$13, 100%, $E$13)</f>
        <v>13.607200000000001</v>
      </c>
      <c r="C824" s="66">
        <f>13.6072 * CHOOSE(CONTROL!$C$23, $C$13, 100%, $E$13)</f>
        <v>13.607200000000001</v>
      </c>
      <c r="D824" s="66">
        <f>13.6111 * CHOOSE(CONTROL!$C$23, $C$13, 100%, $E$13)</f>
        <v>13.6111</v>
      </c>
      <c r="E824" s="67">
        <f>15.6695 * CHOOSE(CONTROL!$C$23, $C$13, 100%, $E$13)</f>
        <v>15.669499999999999</v>
      </c>
      <c r="F824" s="67">
        <f>15.6695 * CHOOSE(CONTROL!$C$23, $C$13, 100%, $E$13)</f>
        <v>15.669499999999999</v>
      </c>
      <c r="G824" s="67">
        <f>15.6742 * CHOOSE(CONTROL!$C$23, $C$13, 100%, $E$13)</f>
        <v>15.674200000000001</v>
      </c>
      <c r="H824" s="67">
        <f>28.9126* CHOOSE(CONTROL!$C$23, $C$13, 100%, $E$13)</f>
        <v>28.912600000000001</v>
      </c>
      <c r="I824" s="67">
        <f>28.9174 * CHOOSE(CONTROL!$C$23, $C$13, 100%, $E$13)</f>
        <v>28.917400000000001</v>
      </c>
      <c r="J824" s="67">
        <f>15.6695 * CHOOSE(CONTROL!$C$23, $C$13, 100%, $E$13)</f>
        <v>15.669499999999999</v>
      </c>
      <c r="K824" s="67">
        <f>15.6742 * CHOOSE(CONTROL!$C$23, $C$13, 100%, $E$13)</f>
        <v>15.674200000000001</v>
      </c>
    </row>
    <row r="825" spans="1:11" ht="15">
      <c r="A825" s="13">
        <v>66232</v>
      </c>
      <c r="B825" s="66">
        <f>13.6072 * CHOOSE(CONTROL!$C$23, $C$13, 100%, $E$13)</f>
        <v>13.607200000000001</v>
      </c>
      <c r="C825" s="66">
        <f>13.6072 * CHOOSE(CONTROL!$C$23, $C$13, 100%, $E$13)</f>
        <v>13.607200000000001</v>
      </c>
      <c r="D825" s="66">
        <f>13.6127 * CHOOSE(CONTROL!$C$23, $C$13, 100%, $E$13)</f>
        <v>13.6127</v>
      </c>
      <c r="E825" s="67">
        <f>15.7567 * CHOOSE(CONTROL!$C$23, $C$13, 100%, $E$13)</f>
        <v>15.7567</v>
      </c>
      <c r="F825" s="67">
        <f>15.7567 * CHOOSE(CONTROL!$C$23, $C$13, 100%, $E$13)</f>
        <v>15.7567</v>
      </c>
      <c r="G825" s="67">
        <f>15.7634 * CHOOSE(CONTROL!$C$23, $C$13, 100%, $E$13)</f>
        <v>15.763400000000001</v>
      </c>
      <c r="H825" s="67">
        <f>28.9728* CHOOSE(CONTROL!$C$23, $C$13, 100%, $E$13)</f>
        <v>28.972799999999999</v>
      </c>
      <c r="I825" s="67">
        <f>28.9796 * CHOOSE(CONTROL!$C$23, $C$13, 100%, $E$13)</f>
        <v>28.979600000000001</v>
      </c>
      <c r="J825" s="67">
        <f>15.7567 * CHOOSE(CONTROL!$C$23, $C$13, 100%, $E$13)</f>
        <v>15.7567</v>
      </c>
      <c r="K825" s="67">
        <f>15.7634 * CHOOSE(CONTROL!$C$23, $C$13, 100%, $E$13)</f>
        <v>15.763400000000001</v>
      </c>
    </row>
    <row r="826" spans="1:11" ht="15">
      <c r="A826" s="13">
        <v>66263</v>
      </c>
      <c r="B826" s="66">
        <f>13.6133 * CHOOSE(CONTROL!$C$23, $C$13, 100%, $E$13)</f>
        <v>13.613300000000001</v>
      </c>
      <c r="C826" s="66">
        <f>13.6133 * CHOOSE(CONTROL!$C$23, $C$13, 100%, $E$13)</f>
        <v>13.613300000000001</v>
      </c>
      <c r="D826" s="66">
        <f>13.6188 * CHOOSE(CONTROL!$C$23, $C$13, 100%, $E$13)</f>
        <v>13.6188</v>
      </c>
      <c r="E826" s="67">
        <f>15.6737 * CHOOSE(CONTROL!$C$23, $C$13, 100%, $E$13)</f>
        <v>15.6737</v>
      </c>
      <c r="F826" s="67">
        <f>15.6737 * CHOOSE(CONTROL!$C$23, $C$13, 100%, $E$13)</f>
        <v>15.6737</v>
      </c>
      <c r="G826" s="67">
        <f>15.6805 * CHOOSE(CONTROL!$C$23, $C$13, 100%, $E$13)</f>
        <v>15.6805</v>
      </c>
      <c r="H826" s="67">
        <f>29.0332* CHOOSE(CONTROL!$C$23, $C$13, 100%, $E$13)</f>
        <v>29.033200000000001</v>
      </c>
      <c r="I826" s="67">
        <f>29.0399 * CHOOSE(CONTROL!$C$23, $C$13, 100%, $E$13)</f>
        <v>29.039899999999999</v>
      </c>
      <c r="J826" s="67">
        <f>15.6737 * CHOOSE(CONTROL!$C$23, $C$13, 100%, $E$13)</f>
        <v>15.6737</v>
      </c>
      <c r="K826" s="67">
        <f>15.6805 * CHOOSE(CONTROL!$C$23, $C$13, 100%, $E$13)</f>
        <v>15.6805</v>
      </c>
    </row>
    <row r="827" spans="1:11" ht="15">
      <c r="A827" s="13">
        <v>66293</v>
      </c>
      <c r="B827" s="66">
        <f>13.8201 * CHOOSE(CONTROL!$C$23, $C$13, 100%, $E$13)</f>
        <v>13.8201</v>
      </c>
      <c r="C827" s="66">
        <f>13.8201 * CHOOSE(CONTROL!$C$23, $C$13, 100%, $E$13)</f>
        <v>13.8201</v>
      </c>
      <c r="D827" s="66">
        <f>13.8256 * CHOOSE(CONTROL!$C$23, $C$13, 100%, $E$13)</f>
        <v>13.8256</v>
      </c>
      <c r="E827" s="67">
        <f>15.9233 * CHOOSE(CONTROL!$C$23, $C$13, 100%, $E$13)</f>
        <v>15.923299999999999</v>
      </c>
      <c r="F827" s="67">
        <f>15.9233 * CHOOSE(CONTROL!$C$23, $C$13, 100%, $E$13)</f>
        <v>15.923299999999999</v>
      </c>
      <c r="G827" s="67">
        <f>15.9301 * CHOOSE(CONTROL!$C$23, $C$13, 100%, $E$13)</f>
        <v>15.930099999999999</v>
      </c>
      <c r="H827" s="67">
        <f>29.0937* CHOOSE(CONTROL!$C$23, $C$13, 100%, $E$13)</f>
        <v>29.093699999999998</v>
      </c>
      <c r="I827" s="67">
        <f>29.1004 * CHOOSE(CONTROL!$C$23, $C$13, 100%, $E$13)</f>
        <v>29.1004</v>
      </c>
      <c r="J827" s="67">
        <f>15.9233 * CHOOSE(CONTROL!$C$23, $C$13, 100%, $E$13)</f>
        <v>15.923299999999999</v>
      </c>
      <c r="K827" s="67">
        <f>15.9301 * CHOOSE(CONTROL!$C$23, $C$13, 100%, $E$13)</f>
        <v>15.930099999999999</v>
      </c>
    </row>
    <row r="828" spans="1:11" ht="15">
      <c r="A828" s="13">
        <v>66324</v>
      </c>
      <c r="B828" s="66">
        <f>13.8268 * CHOOSE(CONTROL!$C$23, $C$13, 100%, $E$13)</f>
        <v>13.8268</v>
      </c>
      <c r="C828" s="66">
        <f>13.8268 * CHOOSE(CONTROL!$C$23, $C$13, 100%, $E$13)</f>
        <v>13.8268</v>
      </c>
      <c r="D828" s="66">
        <f>13.8323 * CHOOSE(CONTROL!$C$23, $C$13, 100%, $E$13)</f>
        <v>13.8323</v>
      </c>
      <c r="E828" s="67">
        <f>15.6663 * CHOOSE(CONTROL!$C$23, $C$13, 100%, $E$13)</f>
        <v>15.6663</v>
      </c>
      <c r="F828" s="67">
        <f>15.6663 * CHOOSE(CONTROL!$C$23, $C$13, 100%, $E$13)</f>
        <v>15.6663</v>
      </c>
      <c r="G828" s="67">
        <f>15.6731 * CHOOSE(CONTROL!$C$23, $C$13, 100%, $E$13)</f>
        <v>15.6731</v>
      </c>
      <c r="H828" s="67">
        <f>29.1543* CHOOSE(CONTROL!$C$23, $C$13, 100%, $E$13)</f>
        <v>29.154299999999999</v>
      </c>
      <c r="I828" s="67">
        <f>29.161 * CHOOSE(CONTROL!$C$23, $C$13, 100%, $E$13)</f>
        <v>29.161000000000001</v>
      </c>
      <c r="J828" s="67">
        <f>15.6663 * CHOOSE(CONTROL!$C$23, $C$13, 100%, $E$13)</f>
        <v>15.6663</v>
      </c>
      <c r="K828" s="67">
        <f>15.6731 * CHOOSE(CONTROL!$C$23, $C$13, 100%, $E$13)</f>
        <v>15.6731</v>
      </c>
    </row>
    <row r="829" spans="1:11" ht="15">
      <c r="A829" s="13">
        <v>66355</v>
      </c>
      <c r="B829" s="66">
        <f>13.8237 * CHOOSE(CONTROL!$C$23, $C$13, 100%, $E$13)</f>
        <v>13.823700000000001</v>
      </c>
      <c r="C829" s="66">
        <f>13.8237 * CHOOSE(CONTROL!$C$23, $C$13, 100%, $E$13)</f>
        <v>13.823700000000001</v>
      </c>
      <c r="D829" s="66">
        <f>13.8292 * CHOOSE(CONTROL!$C$23, $C$13, 100%, $E$13)</f>
        <v>13.8292</v>
      </c>
      <c r="E829" s="67">
        <f>15.6351 * CHOOSE(CONTROL!$C$23, $C$13, 100%, $E$13)</f>
        <v>15.6351</v>
      </c>
      <c r="F829" s="67">
        <f>15.6351 * CHOOSE(CONTROL!$C$23, $C$13, 100%, $E$13)</f>
        <v>15.6351</v>
      </c>
      <c r="G829" s="67">
        <f>15.6419 * CHOOSE(CONTROL!$C$23, $C$13, 100%, $E$13)</f>
        <v>15.6419</v>
      </c>
      <c r="H829" s="67">
        <f>29.215* CHOOSE(CONTROL!$C$23, $C$13, 100%, $E$13)</f>
        <v>29.215</v>
      </c>
      <c r="I829" s="67">
        <f>29.2218 * CHOOSE(CONTROL!$C$23, $C$13, 100%, $E$13)</f>
        <v>29.221800000000002</v>
      </c>
      <c r="J829" s="67">
        <f>15.6351 * CHOOSE(CONTROL!$C$23, $C$13, 100%, $E$13)</f>
        <v>15.6351</v>
      </c>
      <c r="K829" s="67">
        <f>15.6419 * CHOOSE(CONTROL!$C$23, $C$13, 100%, $E$13)</f>
        <v>15.6419</v>
      </c>
    </row>
    <row r="830" spans="1:11" ht="15">
      <c r="A830" s="13">
        <v>66385</v>
      </c>
      <c r="B830" s="66">
        <f>13.8504 * CHOOSE(CONTROL!$C$23, $C$13, 100%, $E$13)</f>
        <v>13.8504</v>
      </c>
      <c r="C830" s="66">
        <f>13.8504 * CHOOSE(CONTROL!$C$23, $C$13, 100%, $E$13)</f>
        <v>13.8504</v>
      </c>
      <c r="D830" s="66">
        <f>13.8543 * CHOOSE(CONTROL!$C$23, $C$13, 100%, $E$13)</f>
        <v>13.8543</v>
      </c>
      <c r="E830" s="67">
        <f>15.738 * CHOOSE(CONTROL!$C$23, $C$13, 100%, $E$13)</f>
        <v>15.738</v>
      </c>
      <c r="F830" s="67">
        <f>15.738 * CHOOSE(CONTROL!$C$23, $C$13, 100%, $E$13)</f>
        <v>15.738</v>
      </c>
      <c r="G830" s="67">
        <f>15.7428 * CHOOSE(CONTROL!$C$23, $C$13, 100%, $E$13)</f>
        <v>15.742800000000001</v>
      </c>
      <c r="H830" s="67">
        <f>29.2759* CHOOSE(CONTROL!$C$23, $C$13, 100%, $E$13)</f>
        <v>29.2759</v>
      </c>
      <c r="I830" s="67">
        <f>29.2807 * CHOOSE(CONTROL!$C$23, $C$13, 100%, $E$13)</f>
        <v>29.2807</v>
      </c>
      <c r="J830" s="67">
        <f>15.738 * CHOOSE(CONTROL!$C$23, $C$13, 100%, $E$13)</f>
        <v>15.738</v>
      </c>
      <c r="K830" s="67">
        <f>15.7428 * CHOOSE(CONTROL!$C$23, $C$13, 100%, $E$13)</f>
        <v>15.742800000000001</v>
      </c>
    </row>
    <row r="831" spans="1:11" ht="15">
      <c r="A831" s="13">
        <v>66416</v>
      </c>
      <c r="B831" s="66">
        <f>13.8535 * CHOOSE(CONTROL!$C$23, $C$13, 100%, $E$13)</f>
        <v>13.8535</v>
      </c>
      <c r="C831" s="66">
        <f>13.8535 * CHOOSE(CONTROL!$C$23, $C$13, 100%, $E$13)</f>
        <v>13.8535</v>
      </c>
      <c r="D831" s="66">
        <f>13.8573 * CHOOSE(CONTROL!$C$23, $C$13, 100%, $E$13)</f>
        <v>13.8573</v>
      </c>
      <c r="E831" s="67">
        <f>15.7983 * CHOOSE(CONTROL!$C$23, $C$13, 100%, $E$13)</f>
        <v>15.798299999999999</v>
      </c>
      <c r="F831" s="67">
        <f>15.7983 * CHOOSE(CONTROL!$C$23, $C$13, 100%, $E$13)</f>
        <v>15.798299999999999</v>
      </c>
      <c r="G831" s="67">
        <f>15.8031 * CHOOSE(CONTROL!$C$23, $C$13, 100%, $E$13)</f>
        <v>15.803100000000001</v>
      </c>
      <c r="H831" s="67">
        <f>29.3369* CHOOSE(CONTROL!$C$23, $C$13, 100%, $E$13)</f>
        <v>29.3369</v>
      </c>
      <c r="I831" s="67">
        <f>29.3417 * CHOOSE(CONTROL!$C$23, $C$13, 100%, $E$13)</f>
        <v>29.341699999999999</v>
      </c>
      <c r="J831" s="67">
        <f>15.7983 * CHOOSE(CONTROL!$C$23, $C$13, 100%, $E$13)</f>
        <v>15.798299999999999</v>
      </c>
      <c r="K831" s="67">
        <f>15.8031 * CHOOSE(CONTROL!$C$23, $C$13, 100%, $E$13)</f>
        <v>15.803100000000001</v>
      </c>
    </row>
    <row r="832" spans="1:11" ht="15">
      <c r="A832" s="13">
        <v>66446</v>
      </c>
      <c r="B832" s="66">
        <f>13.8535 * CHOOSE(CONTROL!$C$23, $C$13, 100%, $E$13)</f>
        <v>13.8535</v>
      </c>
      <c r="C832" s="66">
        <f>13.8535 * CHOOSE(CONTROL!$C$23, $C$13, 100%, $E$13)</f>
        <v>13.8535</v>
      </c>
      <c r="D832" s="66">
        <f>13.8573 * CHOOSE(CONTROL!$C$23, $C$13, 100%, $E$13)</f>
        <v>13.8573</v>
      </c>
      <c r="E832" s="67">
        <f>15.6529 * CHOOSE(CONTROL!$C$23, $C$13, 100%, $E$13)</f>
        <v>15.652900000000001</v>
      </c>
      <c r="F832" s="67">
        <f>15.6529 * CHOOSE(CONTROL!$C$23, $C$13, 100%, $E$13)</f>
        <v>15.652900000000001</v>
      </c>
      <c r="G832" s="67">
        <f>15.6577 * CHOOSE(CONTROL!$C$23, $C$13, 100%, $E$13)</f>
        <v>15.6577</v>
      </c>
      <c r="H832" s="67">
        <f>29.398* CHOOSE(CONTROL!$C$23, $C$13, 100%, $E$13)</f>
        <v>29.398</v>
      </c>
      <c r="I832" s="67">
        <f>29.4028 * CHOOSE(CONTROL!$C$23, $C$13, 100%, $E$13)</f>
        <v>29.402799999999999</v>
      </c>
      <c r="J832" s="67">
        <f>15.6529 * CHOOSE(CONTROL!$C$23, $C$13, 100%, $E$13)</f>
        <v>15.652900000000001</v>
      </c>
      <c r="K832" s="67">
        <f>15.6577 * CHOOSE(CONTROL!$C$23, $C$13, 100%, $E$13)</f>
        <v>15.6577</v>
      </c>
    </row>
    <row r="833" spans="1:11" ht="15">
      <c r="A833" s="13">
        <v>66477</v>
      </c>
      <c r="B833" s="66">
        <f>13.8432 * CHOOSE(CONTROL!$C$23, $C$13, 100%, $E$13)</f>
        <v>13.8432</v>
      </c>
      <c r="C833" s="66">
        <f>13.8432 * CHOOSE(CONTROL!$C$23, $C$13, 100%, $E$13)</f>
        <v>13.8432</v>
      </c>
      <c r="D833" s="66">
        <f>13.847 * CHOOSE(CONTROL!$C$23, $C$13, 100%, $E$13)</f>
        <v>13.847</v>
      </c>
      <c r="E833" s="67">
        <f>15.7582 * CHOOSE(CONTROL!$C$23, $C$13, 100%, $E$13)</f>
        <v>15.7582</v>
      </c>
      <c r="F833" s="67">
        <f>15.7582 * CHOOSE(CONTROL!$C$23, $C$13, 100%, $E$13)</f>
        <v>15.7582</v>
      </c>
      <c r="G833" s="67">
        <f>15.763 * CHOOSE(CONTROL!$C$23, $C$13, 100%, $E$13)</f>
        <v>15.763</v>
      </c>
      <c r="H833" s="67">
        <f>29.2152* CHOOSE(CONTROL!$C$23, $C$13, 100%, $E$13)</f>
        <v>29.215199999999999</v>
      </c>
      <c r="I833" s="67">
        <f>29.22 * CHOOSE(CONTROL!$C$23, $C$13, 100%, $E$13)</f>
        <v>29.22</v>
      </c>
      <c r="J833" s="67">
        <f>15.7582 * CHOOSE(CONTROL!$C$23, $C$13, 100%, $E$13)</f>
        <v>15.7582</v>
      </c>
      <c r="K833" s="67">
        <f>15.763 * CHOOSE(CONTROL!$C$23, $C$13, 100%, $E$13)</f>
        <v>15.763</v>
      </c>
    </row>
    <row r="834" spans="1:11" ht="15">
      <c r="A834" s="13">
        <v>66508</v>
      </c>
      <c r="B834" s="66">
        <f>13.8401 * CHOOSE(CONTROL!$C$23, $C$13, 100%, $E$13)</f>
        <v>13.8401</v>
      </c>
      <c r="C834" s="66">
        <f>13.8401 * CHOOSE(CONTROL!$C$23, $C$13, 100%, $E$13)</f>
        <v>13.8401</v>
      </c>
      <c r="D834" s="66">
        <f>13.844 * CHOOSE(CONTROL!$C$23, $C$13, 100%, $E$13)</f>
        <v>13.843999999999999</v>
      </c>
      <c r="E834" s="67">
        <f>15.4765 * CHOOSE(CONTROL!$C$23, $C$13, 100%, $E$13)</f>
        <v>15.4765</v>
      </c>
      <c r="F834" s="67">
        <f>15.4765 * CHOOSE(CONTROL!$C$23, $C$13, 100%, $E$13)</f>
        <v>15.4765</v>
      </c>
      <c r="G834" s="67">
        <f>15.4812 * CHOOSE(CONTROL!$C$23, $C$13, 100%, $E$13)</f>
        <v>15.481199999999999</v>
      </c>
      <c r="H834" s="67">
        <f>29.2761* CHOOSE(CONTROL!$C$23, $C$13, 100%, $E$13)</f>
        <v>29.2761</v>
      </c>
      <c r="I834" s="67">
        <f>29.2808 * CHOOSE(CONTROL!$C$23, $C$13, 100%, $E$13)</f>
        <v>29.280799999999999</v>
      </c>
      <c r="J834" s="67">
        <f>15.4765 * CHOOSE(CONTROL!$C$23, $C$13, 100%, $E$13)</f>
        <v>15.4765</v>
      </c>
      <c r="K834" s="67">
        <f>15.4812 * CHOOSE(CONTROL!$C$23, $C$13, 100%, $E$13)</f>
        <v>15.481199999999999</v>
      </c>
    </row>
    <row r="835" spans="1:11" ht="15">
      <c r="A835" s="13">
        <v>66536</v>
      </c>
      <c r="B835" s="66">
        <f>13.8371 * CHOOSE(CONTROL!$C$23, $C$13, 100%, $E$13)</f>
        <v>13.8371</v>
      </c>
      <c r="C835" s="66">
        <f>13.8371 * CHOOSE(CONTROL!$C$23, $C$13, 100%, $E$13)</f>
        <v>13.8371</v>
      </c>
      <c r="D835" s="66">
        <f>13.841 * CHOOSE(CONTROL!$C$23, $C$13, 100%, $E$13)</f>
        <v>13.840999999999999</v>
      </c>
      <c r="E835" s="67">
        <f>15.6948 * CHOOSE(CONTROL!$C$23, $C$13, 100%, $E$13)</f>
        <v>15.694800000000001</v>
      </c>
      <c r="F835" s="67">
        <f>15.6948 * CHOOSE(CONTROL!$C$23, $C$13, 100%, $E$13)</f>
        <v>15.694800000000001</v>
      </c>
      <c r="G835" s="67">
        <f>15.6996 * CHOOSE(CONTROL!$C$23, $C$13, 100%, $E$13)</f>
        <v>15.6996</v>
      </c>
      <c r="H835" s="67">
        <f>29.337* CHOOSE(CONTROL!$C$23, $C$13, 100%, $E$13)</f>
        <v>29.337</v>
      </c>
      <c r="I835" s="67">
        <f>29.3418 * CHOOSE(CONTROL!$C$23, $C$13, 100%, $E$13)</f>
        <v>29.341799999999999</v>
      </c>
      <c r="J835" s="67">
        <f>15.6948 * CHOOSE(CONTROL!$C$23, $C$13, 100%, $E$13)</f>
        <v>15.694800000000001</v>
      </c>
      <c r="K835" s="67">
        <f>15.6996 * CHOOSE(CONTROL!$C$23, $C$13, 100%, $E$13)</f>
        <v>15.6996</v>
      </c>
    </row>
    <row r="836" spans="1:11" ht="15">
      <c r="A836" s="13">
        <v>66567</v>
      </c>
      <c r="B836" s="66">
        <f>13.843 * CHOOSE(CONTROL!$C$23, $C$13, 100%, $E$13)</f>
        <v>13.843</v>
      </c>
      <c r="C836" s="66">
        <f>13.843 * CHOOSE(CONTROL!$C$23, $C$13, 100%, $E$13)</f>
        <v>13.843</v>
      </c>
      <c r="D836" s="66">
        <f>13.8468 * CHOOSE(CONTROL!$C$23, $C$13, 100%, $E$13)</f>
        <v>13.8468</v>
      </c>
      <c r="E836" s="67">
        <f>15.9273 * CHOOSE(CONTROL!$C$23, $C$13, 100%, $E$13)</f>
        <v>15.927300000000001</v>
      </c>
      <c r="F836" s="67">
        <f>15.9273 * CHOOSE(CONTROL!$C$23, $C$13, 100%, $E$13)</f>
        <v>15.927300000000001</v>
      </c>
      <c r="G836" s="67">
        <f>15.9321 * CHOOSE(CONTROL!$C$23, $C$13, 100%, $E$13)</f>
        <v>15.9321</v>
      </c>
      <c r="H836" s="67">
        <f>29.3982* CHOOSE(CONTROL!$C$23, $C$13, 100%, $E$13)</f>
        <v>29.398199999999999</v>
      </c>
      <c r="I836" s="67">
        <f>29.4029 * CHOOSE(CONTROL!$C$23, $C$13, 100%, $E$13)</f>
        <v>29.402899999999999</v>
      </c>
      <c r="J836" s="67">
        <f>15.9273 * CHOOSE(CONTROL!$C$23, $C$13, 100%, $E$13)</f>
        <v>15.927300000000001</v>
      </c>
      <c r="K836" s="67">
        <f>15.9321 * CHOOSE(CONTROL!$C$23, $C$13, 100%, $E$13)</f>
        <v>15.9321</v>
      </c>
    </row>
    <row r="837" spans="1:11" ht="15">
      <c r="A837" s="13">
        <v>66597</v>
      </c>
      <c r="B837" s="66">
        <f>13.843 * CHOOSE(CONTROL!$C$23, $C$13, 100%, $E$13)</f>
        <v>13.843</v>
      </c>
      <c r="C837" s="66">
        <f>13.843 * CHOOSE(CONTROL!$C$23, $C$13, 100%, $E$13)</f>
        <v>13.843</v>
      </c>
      <c r="D837" s="66">
        <f>13.8485 * CHOOSE(CONTROL!$C$23, $C$13, 100%, $E$13)</f>
        <v>13.8485</v>
      </c>
      <c r="E837" s="67">
        <f>16.0161 * CHOOSE(CONTROL!$C$23, $C$13, 100%, $E$13)</f>
        <v>16.016100000000002</v>
      </c>
      <c r="F837" s="67">
        <f>16.0161 * CHOOSE(CONTROL!$C$23, $C$13, 100%, $E$13)</f>
        <v>16.016100000000002</v>
      </c>
      <c r="G837" s="67">
        <f>16.0229 * CHOOSE(CONTROL!$C$23, $C$13, 100%, $E$13)</f>
        <v>16.0229</v>
      </c>
      <c r="H837" s="67">
        <f>29.4594* CHOOSE(CONTROL!$C$23, $C$13, 100%, $E$13)</f>
        <v>29.459399999999999</v>
      </c>
      <c r="I837" s="67">
        <f>29.4662 * CHOOSE(CONTROL!$C$23, $C$13, 100%, $E$13)</f>
        <v>29.466200000000001</v>
      </c>
      <c r="J837" s="67">
        <f>16.0161 * CHOOSE(CONTROL!$C$23, $C$13, 100%, $E$13)</f>
        <v>16.016100000000002</v>
      </c>
      <c r="K837" s="67">
        <f>16.0229 * CHOOSE(CONTROL!$C$23, $C$13, 100%, $E$13)</f>
        <v>16.0229</v>
      </c>
    </row>
    <row r="838" spans="1:11" ht="15">
      <c r="A838" s="13">
        <v>66628</v>
      </c>
      <c r="B838" s="66">
        <f>13.8491 * CHOOSE(CONTROL!$C$23, $C$13, 100%, $E$13)</f>
        <v>13.8491</v>
      </c>
      <c r="C838" s="66">
        <f>13.8491 * CHOOSE(CONTROL!$C$23, $C$13, 100%, $E$13)</f>
        <v>13.8491</v>
      </c>
      <c r="D838" s="66">
        <f>13.8546 * CHOOSE(CONTROL!$C$23, $C$13, 100%, $E$13)</f>
        <v>13.8546</v>
      </c>
      <c r="E838" s="67">
        <f>15.9316 * CHOOSE(CONTROL!$C$23, $C$13, 100%, $E$13)</f>
        <v>15.9316</v>
      </c>
      <c r="F838" s="67">
        <f>15.9316 * CHOOSE(CONTROL!$C$23, $C$13, 100%, $E$13)</f>
        <v>15.9316</v>
      </c>
      <c r="G838" s="67">
        <f>15.9383 * CHOOSE(CONTROL!$C$23, $C$13, 100%, $E$13)</f>
        <v>15.9383</v>
      </c>
      <c r="H838" s="67">
        <f>29.5208* CHOOSE(CONTROL!$C$23, $C$13, 100%, $E$13)</f>
        <v>29.520800000000001</v>
      </c>
      <c r="I838" s="67">
        <f>29.5275 * CHOOSE(CONTROL!$C$23, $C$13, 100%, $E$13)</f>
        <v>29.5275</v>
      </c>
      <c r="J838" s="67">
        <f>15.9316 * CHOOSE(CONTROL!$C$23, $C$13, 100%, $E$13)</f>
        <v>15.9316</v>
      </c>
      <c r="K838" s="67">
        <f>15.9383 * CHOOSE(CONTROL!$C$23, $C$13, 100%, $E$13)</f>
        <v>15.9383</v>
      </c>
    </row>
    <row r="839" spans="1:11" ht="15">
      <c r="A839" s="13">
        <v>66658</v>
      </c>
      <c r="B839" s="66">
        <f>14.0592 * CHOOSE(CONTROL!$C$23, $C$13, 100%, $E$13)</f>
        <v>14.059200000000001</v>
      </c>
      <c r="C839" s="66">
        <f>14.0592 * CHOOSE(CONTROL!$C$23, $C$13, 100%, $E$13)</f>
        <v>14.059200000000001</v>
      </c>
      <c r="D839" s="66">
        <f>14.0647 * CHOOSE(CONTROL!$C$23, $C$13, 100%, $E$13)</f>
        <v>14.0647</v>
      </c>
      <c r="E839" s="67">
        <f>16.1851 * CHOOSE(CONTROL!$C$23, $C$13, 100%, $E$13)</f>
        <v>16.185099999999998</v>
      </c>
      <c r="F839" s="67">
        <f>16.1851 * CHOOSE(CONTROL!$C$23, $C$13, 100%, $E$13)</f>
        <v>16.185099999999998</v>
      </c>
      <c r="G839" s="67">
        <f>16.1919 * CHOOSE(CONTROL!$C$23, $C$13, 100%, $E$13)</f>
        <v>16.1919</v>
      </c>
      <c r="H839" s="67">
        <f>29.5823* CHOOSE(CONTROL!$C$23, $C$13, 100%, $E$13)</f>
        <v>29.5823</v>
      </c>
      <c r="I839" s="67">
        <f>29.589 * CHOOSE(CONTROL!$C$23, $C$13, 100%, $E$13)</f>
        <v>29.588999999999999</v>
      </c>
      <c r="J839" s="67">
        <f>16.1851 * CHOOSE(CONTROL!$C$23, $C$13, 100%, $E$13)</f>
        <v>16.185099999999998</v>
      </c>
      <c r="K839" s="67">
        <f>16.1919 * CHOOSE(CONTROL!$C$23, $C$13, 100%, $E$13)</f>
        <v>16.1919</v>
      </c>
    </row>
    <row r="840" spans="1:11" ht="15">
      <c r="A840" s="13">
        <v>66689</v>
      </c>
      <c r="B840" s="66">
        <f>14.0659 * CHOOSE(CONTROL!$C$23, $C$13, 100%, $E$13)</f>
        <v>14.065899999999999</v>
      </c>
      <c r="C840" s="66">
        <f>14.0659 * CHOOSE(CONTROL!$C$23, $C$13, 100%, $E$13)</f>
        <v>14.065899999999999</v>
      </c>
      <c r="D840" s="66">
        <f>14.0714 * CHOOSE(CONTROL!$C$23, $C$13, 100%, $E$13)</f>
        <v>14.071400000000001</v>
      </c>
      <c r="E840" s="67">
        <f>15.9234 * CHOOSE(CONTROL!$C$23, $C$13, 100%, $E$13)</f>
        <v>15.923400000000001</v>
      </c>
      <c r="F840" s="67">
        <f>15.9234 * CHOOSE(CONTROL!$C$23, $C$13, 100%, $E$13)</f>
        <v>15.923400000000001</v>
      </c>
      <c r="G840" s="67">
        <f>15.9301 * CHOOSE(CONTROL!$C$23, $C$13, 100%, $E$13)</f>
        <v>15.930099999999999</v>
      </c>
      <c r="H840" s="67">
        <f>29.6439* CHOOSE(CONTROL!$C$23, $C$13, 100%, $E$13)</f>
        <v>29.643899999999999</v>
      </c>
      <c r="I840" s="67">
        <f>29.6507 * CHOOSE(CONTROL!$C$23, $C$13, 100%, $E$13)</f>
        <v>29.650700000000001</v>
      </c>
      <c r="J840" s="67">
        <f>15.9234 * CHOOSE(CONTROL!$C$23, $C$13, 100%, $E$13)</f>
        <v>15.923400000000001</v>
      </c>
      <c r="K840" s="67">
        <f>15.9301 * CHOOSE(CONTROL!$C$23, $C$13, 100%, $E$13)</f>
        <v>15.930099999999999</v>
      </c>
    </row>
    <row r="841" spans="1:11" ht="15">
      <c r="A841" s="13">
        <v>66720</v>
      </c>
      <c r="B841" s="66">
        <f>14.0629 * CHOOSE(CONTROL!$C$23, $C$13, 100%, $E$13)</f>
        <v>14.062900000000001</v>
      </c>
      <c r="C841" s="66">
        <f>14.0629 * CHOOSE(CONTROL!$C$23, $C$13, 100%, $E$13)</f>
        <v>14.062900000000001</v>
      </c>
      <c r="D841" s="66">
        <f>14.0684 * CHOOSE(CONTROL!$C$23, $C$13, 100%, $E$13)</f>
        <v>14.0684</v>
      </c>
      <c r="E841" s="67">
        <f>15.8917 * CHOOSE(CONTROL!$C$23, $C$13, 100%, $E$13)</f>
        <v>15.8917</v>
      </c>
      <c r="F841" s="67">
        <f>15.8917 * CHOOSE(CONTROL!$C$23, $C$13, 100%, $E$13)</f>
        <v>15.8917</v>
      </c>
      <c r="G841" s="67">
        <f>15.8984 * CHOOSE(CONTROL!$C$23, $C$13, 100%, $E$13)</f>
        <v>15.898400000000001</v>
      </c>
      <c r="H841" s="67">
        <f>29.7057* CHOOSE(CONTROL!$C$23, $C$13, 100%, $E$13)</f>
        <v>29.7057</v>
      </c>
      <c r="I841" s="67">
        <f>29.7124 * CHOOSE(CONTROL!$C$23, $C$13, 100%, $E$13)</f>
        <v>29.712399999999999</v>
      </c>
      <c r="J841" s="67">
        <f>15.8917 * CHOOSE(CONTROL!$C$23, $C$13, 100%, $E$13)</f>
        <v>15.8917</v>
      </c>
      <c r="K841" s="67">
        <f>15.8984 * CHOOSE(CONTROL!$C$23, $C$13, 100%, $E$13)</f>
        <v>15.898400000000001</v>
      </c>
    </row>
    <row r="842" spans="1:11" ht="15">
      <c r="A842" s="13">
        <v>66750</v>
      </c>
      <c r="B842" s="66">
        <f>14.0904 * CHOOSE(CONTROL!$C$23, $C$13, 100%, $E$13)</f>
        <v>14.090400000000001</v>
      </c>
      <c r="C842" s="66">
        <f>14.0904 * CHOOSE(CONTROL!$C$23, $C$13, 100%, $E$13)</f>
        <v>14.090400000000001</v>
      </c>
      <c r="D842" s="66">
        <f>14.0942 * CHOOSE(CONTROL!$C$23, $C$13, 100%, $E$13)</f>
        <v>14.094200000000001</v>
      </c>
      <c r="E842" s="67">
        <f>15.9967 * CHOOSE(CONTROL!$C$23, $C$13, 100%, $E$13)</f>
        <v>15.996700000000001</v>
      </c>
      <c r="F842" s="67">
        <f>15.9967 * CHOOSE(CONTROL!$C$23, $C$13, 100%, $E$13)</f>
        <v>15.996700000000001</v>
      </c>
      <c r="G842" s="67">
        <f>16.0014 * CHOOSE(CONTROL!$C$23, $C$13, 100%, $E$13)</f>
        <v>16.0014</v>
      </c>
      <c r="H842" s="67">
        <f>29.7676* CHOOSE(CONTROL!$C$23, $C$13, 100%, $E$13)</f>
        <v>29.767600000000002</v>
      </c>
      <c r="I842" s="67">
        <f>29.7723 * CHOOSE(CONTROL!$C$23, $C$13, 100%, $E$13)</f>
        <v>29.772300000000001</v>
      </c>
      <c r="J842" s="67">
        <f>15.9967 * CHOOSE(CONTROL!$C$23, $C$13, 100%, $E$13)</f>
        <v>15.996700000000001</v>
      </c>
      <c r="K842" s="67">
        <f>16.0014 * CHOOSE(CONTROL!$C$23, $C$13, 100%, $E$13)</f>
        <v>16.0014</v>
      </c>
    </row>
    <row r="843" spans="1:11" ht="15">
      <c r="A843" s="13">
        <v>66781</v>
      </c>
      <c r="B843" s="66">
        <f>14.0934 * CHOOSE(CONTROL!$C$23, $C$13, 100%, $E$13)</f>
        <v>14.093400000000001</v>
      </c>
      <c r="C843" s="66">
        <f>14.0934 * CHOOSE(CONTROL!$C$23, $C$13, 100%, $E$13)</f>
        <v>14.093400000000001</v>
      </c>
      <c r="D843" s="66">
        <f>14.0973 * CHOOSE(CONTROL!$C$23, $C$13, 100%, $E$13)</f>
        <v>14.097300000000001</v>
      </c>
      <c r="E843" s="67">
        <f>16.058 * CHOOSE(CONTROL!$C$23, $C$13, 100%, $E$13)</f>
        <v>16.058</v>
      </c>
      <c r="F843" s="67">
        <f>16.058 * CHOOSE(CONTROL!$C$23, $C$13, 100%, $E$13)</f>
        <v>16.058</v>
      </c>
      <c r="G843" s="67">
        <f>16.0627 * CHOOSE(CONTROL!$C$23, $C$13, 100%, $E$13)</f>
        <v>16.0627</v>
      </c>
      <c r="H843" s="67">
        <f>29.8296* CHOOSE(CONTROL!$C$23, $C$13, 100%, $E$13)</f>
        <v>29.829599999999999</v>
      </c>
      <c r="I843" s="67">
        <f>29.8343 * CHOOSE(CONTROL!$C$23, $C$13, 100%, $E$13)</f>
        <v>29.834299999999999</v>
      </c>
      <c r="J843" s="67">
        <f>16.058 * CHOOSE(CONTROL!$C$23, $C$13, 100%, $E$13)</f>
        <v>16.058</v>
      </c>
      <c r="K843" s="67">
        <f>16.0627 * CHOOSE(CONTROL!$C$23, $C$13, 100%, $E$13)</f>
        <v>16.0627</v>
      </c>
    </row>
    <row r="844" spans="1:11" ht="15">
      <c r="A844" s="13">
        <v>66811</v>
      </c>
      <c r="B844" s="66">
        <f>14.0934 * CHOOSE(CONTROL!$C$23, $C$13, 100%, $E$13)</f>
        <v>14.093400000000001</v>
      </c>
      <c r="C844" s="66">
        <f>14.0934 * CHOOSE(CONTROL!$C$23, $C$13, 100%, $E$13)</f>
        <v>14.093400000000001</v>
      </c>
      <c r="D844" s="66">
        <f>14.0973 * CHOOSE(CONTROL!$C$23, $C$13, 100%, $E$13)</f>
        <v>14.097300000000001</v>
      </c>
      <c r="E844" s="67">
        <f>15.91 * CHOOSE(CONTROL!$C$23, $C$13, 100%, $E$13)</f>
        <v>15.91</v>
      </c>
      <c r="F844" s="67">
        <f>15.91 * CHOOSE(CONTROL!$C$23, $C$13, 100%, $E$13)</f>
        <v>15.91</v>
      </c>
      <c r="G844" s="67">
        <f>15.9148 * CHOOSE(CONTROL!$C$23, $C$13, 100%, $E$13)</f>
        <v>15.9148</v>
      </c>
      <c r="H844" s="67">
        <f>29.8917* CHOOSE(CONTROL!$C$23, $C$13, 100%, $E$13)</f>
        <v>29.8917</v>
      </c>
      <c r="I844" s="67">
        <f>29.8965 * CHOOSE(CONTROL!$C$23, $C$13, 100%, $E$13)</f>
        <v>29.8965</v>
      </c>
      <c r="J844" s="67">
        <f>15.91 * CHOOSE(CONTROL!$C$23, $C$13, 100%, $E$13)</f>
        <v>15.91</v>
      </c>
      <c r="K844" s="67">
        <f>15.9148 * CHOOSE(CONTROL!$C$23, $C$13, 100%, $E$13)</f>
        <v>15.9148</v>
      </c>
    </row>
    <row r="845" spans="1:11" ht="15">
      <c r="A845" s="13">
        <v>66842</v>
      </c>
      <c r="B845" s="66">
        <f>14.0787 * CHOOSE(CONTROL!$C$23, $C$13, 100%, $E$13)</f>
        <v>14.0787</v>
      </c>
      <c r="C845" s="66">
        <f>14.0787 * CHOOSE(CONTROL!$C$23, $C$13, 100%, $E$13)</f>
        <v>14.0787</v>
      </c>
      <c r="D845" s="66">
        <f>14.0826 * CHOOSE(CONTROL!$C$23, $C$13, 100%, $E$13)</f>
        <v>14.082599999999999</v>
      </c>
      <c r="E845" s="67">
        <f>16.013 * CHOOSE(CONTROL!$C$23, $C$13, 100%, $E$13)</f>
        <v>16.013000000000002</v>
      </c>
      <c r="F845" s="67">
        <f>16.013 * CHOOSE(CONTROL!$C$23, $C$13, 100%, $E$13)</f>
        <v>16.013000000000002</v>
      </c>
      <c r="G845" s="67">
        <f>16.0177 * CHOOSE(CONTROL!$C$23, $C$13, 100%, $E$13)</f>
        <v>16.017700000000001</v>
      </c>
      <c r="H845" s="67">
        <f>29.6977* CHOOSE(CONTROL!$C$23, $C$13, 100%, $E$13)</f>
        <v>29.697700000000001</v>
      </c>
      <c r="I845" s="67">
        <f>29.7025 * CHOOSE(CONTROL!$C$23, $C$13, 100%, $E$13)</f>
        <v>29.702500000000001</v>
      </c>
      <c r="J845" s="67">
        <f>16.013 * CHOOSE(CONTROL!$C$23, $C$13, 100%, $E$13)</f>
        <v>16.013000000000002</v>
      </c>
      <c r="K845" s="67">
        <f>16.0177 * CHOOSE(CONTROL!$C$23, $C$13, 100%, $E$13)</f>
        <v>16.017700000000001</v>
      </c>
    </row>
    <row r="846" spans="1:11" ht="15">
      <c r="A846" s="13">
        <v>66873</v>
      </c>
      <c r="B846" s="66">
        <f>14.0757 * CHOOSE(CONTROL!$C$23, $C$13, 100%, $E$13)</f>
        <v>14.075699999999999</v>
      </c>
      <c r="C846" s="66">
        <f>14.0757 * CHOOSE(CONTROL!$C$23, $C$13, 100%, $E$13)</f>
        <v>14.075699999999999</v>
      </c>
      <c r="D846" s="66">
        <f>14.0796 * CHOOSE(CONTROL!$C$23, $C$13, 100%, $E$13)</f>
        <v>14.079599999999999</v>
      </c>
      <c r="E846" s="67">
        <f>15.7262 * CHOOSE(CONTROL!$C$23, $C$13, 100%, $E$13)</f>
        <v>15.7262</v>
      </c>
      <c r="F846" s="67">
        <f>15.7262 * CHOOSE(CONTROL!$C$23, $C$13, 100%, $E$13)</f>
        <v>15.7262</v>
      </c>
      <c r="G846" s="67">
        <f>15.731 * CHOOSE(CONTROL!$C$23, $C$13, 100%, $E$13)</f>
        <v>15.731</v>
      </c>
      <c r="H846" s="67">
        <f>29.7596* CHOOSE(CONTROL!$C$23, $C$13, 100%, $E$13)</f>
        <v>29.759599999999999</v>
      </c>
      <c r="I846" s="67">
        <f>29.7644 * CHOOSE(CONTROL!$C$23, $C$13, 100%, $E$13)</f>
        <v>29.764399999999998</v>
      </c>
      <c r="J846" s="67">
        <f>15.7262 * CHOOSE(CONTROL!$C$23, $C$13, 100%, $E$13)</f>
        <v>15.7262</v>
      </c>
      <c r="K846" s="67">
        <f>15.731 * CHOOSE(CONTROL!$C$23, $C$13, 100%, $E$13)</f>
        <v>15.731</v>
      </c>
    </row>
    <row r="847" spans="1:11" ht="15">
      <c r="A847" s="13">
        <v>66901</v>
      </c>
      <c r="B847" s="66">
        <f>14.0727 * CHOOSE(CONTROL!$C$23, $C$13, 100%, $E$13)</f>
        <v>14.072699999999999</v>
      </c>
      <c r="C847" s="66">
        <f>14.0727 * CHOOSE(CONTROL!$C$23, $C$13, 100%, $E$13)</f>
        <v>14.072699999999999</v>
      </c>
      <c r="D847" s="66">
        <f>14.0765 * CHOOSE(CONTROL!$C$23, $C$13, 100%, $E$13)</f>
        <v>14.076499999999999</v>
      </c>
      <c r="E847" s="67">
        <f>15.9485 * CHOOSE(CONTROL!$C$23, $C$13, 100%, $E$13)</f>
        <v>15.948499999999999</v>
      </c>
      <c r="F847" s="67">
        <f>15.9485 * CHOOSE(CONTROL!$C$23, $C$13, 100%, $E$13)</f>
        <v>15.948499999999999</v>
      </c>
      <c r="G847" s="67">
        <f>15.9533 * CHOOSE(CONTROL!$C$23, $C$13, 100%, $E$13)</f>
        <v>15.9533</v>
      </c>
      <c r="H847" s="67">
        <f>29.8216* CHOOSE(CONTROL!$C$23, $C$13, 100%, $E$13)</f>
        <v>29.8216</v>
      </c>
      <c r="I847" s="67">
        <f>29.8264 * CHOOSE(CONTROL!$C$23, $C$13, 100%, $E$13)</f>
        <v>29.8264</v>
      </c>
      <c r="J847" s="67">
        <f>15.9485 * CHOOSE(CONTROL!$C$23, $C$13, 100%, $E$13)</f>
        <v>15.948499999999999</v>
      </c>
      <c r="K847" s="67">
        <f>15.9533 * CHOOSE(CONTROL!$C$23, $C$13, 100%, $E$13)</f>
        <v>15.9533</v>
      </c>
    </row>
    <row r="848" spans="1:11" ht="15">
      <c r="A848" s="13">
        <v>66932</v>
      </c>
      <c r="B848" s="66">
        <f>14.0787 * CHOOSE(CONTROL!$C$23, $C$13, 100%, $E$13)</f>
        <v>14.0787</v>
      </c>
      <c r="C848" s="66">
        <f>14.0787 * CHOOSE(CONTROL!$C$23, $C$13, 100%, $E$13)</f>
        <v>14.0787</v>
      </c>
      <c r="D848" s="66">
        <f>14.0826 * CHOOSE(CONTROL!$C$23, $C$13, 100%, $E$13)</f>
        <v>14.082599999999999</v>
      </c>
      <c r="E848" s="67">
        <f>16.1852 * CHOOSE(CONTROL!$C$23, $C$13, 100%, $E$13)</f>
        <v>16.185199999999998</v>
      </c>
      <c r="F848" s="67">
        <f>16.1852 * CHOOSE(CONTROL!$C$23, $C$13, 100%, $E$13)</f>
        <v>16.185199999999998</v>
      </c>
      <c r="G848" s="67">
        <f>16.19 * CHOOSE(CONTROL!$C$23, $C$13, 100%, $E$13)</f>
        <v>16.190000000000001</v>
      </c>
      <c r="H848" s="67">
        <f>29.8837* CHOOSE(CONTROL!$C$23, $C$13, 100%, $E$13)</f>
        <v>29.883700000000001</v>
      </c>
      <c r="I848" s="67">
        <f>29.8885 * CHOOSE(CONTROL!$C$23, $C$13, 100%, $E$13)</f>
        <v>29.888500000000001</v>
      </c>
      <c r="J848" s="67">
        <f>16.1852 * CHOOSE(CONTROL!$C$23, $C$13, 100%, $E$13)</f>
        <v>16.185199999999998</v>
      </c>
      <c r="K848" s="67">
        <f>16.19 * CHOOSE(CONTROL!$C$23, $C$13, 100%, $E$13)</f>
        <v>16.190000000000001</v>
      </c>
    </row>
    <row r="849" spans="1:11" ht="15">
      <c r="A849" s="13">
        <v>66962</v>
      </c>
      <c r="B849" s="66">
        <f>14.0787 * CHOOSE(CONTROL!$C$23, $C$13, 100%, $E$13)</f>
        <v>14.0787</v>
      </c>
      <c r="C849" s="66">
        <f>14.0787 * CHOOSE(CONTROL!$C$23, $C$13, 100%, $E$13)</f>
        <v>14.0787</v>
      </c>
      <c r="D849" s="66">
        <f>14.0843 * CHOOSE(CONTROL!$C$23, $C$13, 100%, $E$13)</f>
        <v>14.084300000000001</v>
      </c>
      <c r="E849" s="67">
        <f>16.2756 * CHOOSE(CONTROL!$C$23, $C$13, 100%, $E$13)</f>
        <v>16.275600000000001</v>
      </c>
      <c r="F849" s="67">
        <f>16.2756 * CHOOSE(CONTROL!$C$23, $C$13, 100%, $E$13)</f>
        <v>16.275600000000001</v>
      </c>
      <c r="G849" s="67">
        <f>16.2823 * CHOOSE(CONTROL!$C$23, $C$13, 100%, $E$13)</f>
        <v>16.282299999999999</v>
      </c>
      <c r="H849" s="67">
        <f>29.946* CHOOSE(CONTROL!$C$23, $C$13, 100%, $E$13)</f>
        <v>29.946000000000002</v>
      </c>
      <c r="I849" s="67">
        <f>29.9527 * CHOOSE(CONTROL!$C$23, $C$13, 100%, $E$13)</f>
        <v>29.9527</v>
      </c>
      <c r="J849" s="67">
        <f>16.2756 * CHOOSE(CONTROL!$C$23, $C$13, 100%, $E$13)</f>
        <v>16.275600000000001</v>
      </c>
      <c r="K849" s="67">
        <f>16.2823 * CHOOSE(CONTROL!$C$23, $C$13, 100%, $E$13)</f>
        <v>16.282299999999999</v>
      </c>
    </row>
    <row r="850" spans="1:11" ht="15">
      <c r="A850" s="13">
        <v>66993</v>
      </c>
      <c r="B850" s="66">
        <f>14.0848 * CHOOSE(CONTROL!$C$23, $C$13, 100%, $E$13)</f>
        <v>14.0848</v>
      </c>
      <c r="C850" s="66">
        <f>14.0848 * CHOOSE(CONTROL!$C$23, $C$13, 100%, $E$13)</f>
        <v>14.0848</v>
      </c>
      <c r="D850" s="66">
        <f>14.0903 * CHOOSE(CONTROL!$C$23, $C$13, 100%, $E$13)</f>
        <v>14.090299999999999</v>
      </c>
      <c r="E850" s="67">
        <f>16.1894 * CHOOSE(CONTROL!$C$23, $C$13, 100%, $E$13)</f>
        <v>16.189399999999999</v>
      </c>
      <c r="F850" s="67">
        <f>16.1894 * CHOOSE(CONTROL!$C$23, $C$13, 100%, $E$13)</f>
        <v>16.189399999999999</v>
      </c>
      <c r="G850" s="67">
        <f>16.1962 * CHOOSE(CONTROL!$C$23, $C$13, 100%, $E$13)</f>
        <v>16.196200000000001</v>
      </c>
      <c r="H850" s="67">
        <f>30.0084* CHOOSE(CONTROL!$C$23, $C$13, 100%, $E$13)</f>
        <v>30.008400000000002</v>
      </c>
      <c r="I850" s="67">
        <f>30.0151 * CHOOSE(CONTROL!$C$23, $C$13, 100%, $E$13)</f>
        <v>30.0151</v>
      </c>
      <c r="J850" s="67">
        <f>16.1894 * CHOOSE(CONTROL!$C$23, $C$13, 100%, $E$13)</f>
        <v>16.189399999999999</v>
      </c>
      <c r="K850" s="67">
        <f>16.1962 * CHOOSE(CONTROL!$C$23, $C$13, 100%, $E$13)</f>
        <v>16.196200000000001</v>
      </c>
    </row>
    <row r="851" spans="1:11" ht="15">
      <c r="A851" s="13">
        <v>67023</v>
      </c>
      <c r="B851" s="66">
        <f>14.2984 * CHOOSE(CONTROL!$C$23, $C$13, 100%, $E$13)</f>
        <v>14.298400000000001</v>
      </c>
      <c r="C851" s="66">
        <f>14.2984 * CHOOSE(CONTROL!$C$23, $C$13, 100%, $E$13)</f>
        <v>14.298400000000001</v>
      </c>
      <c r="D851" s="66">
        <f>14.3039 * CHOOSE(CONTROL!$C$23, $C$13, 100%, $E$13)</f>
        <v>14.303900000000001</v>
      </c>
      <c r="E851" s="67">
        <f>16.4469 * CHOOSE(CONTROL!$C$23, $C$13, 100%, $E$13)</f>
        <v>16.446899999999999</v>
      </c>
      <c r="F851" s="67">
        <f>16.4469 * CHOOSE(CONTROL!$C$23, $C$13, 100%, $E$13)</f>
        <v>16.446899999999999</v>
      </c>
      <c r="G851" s="67">
        <f>16.4536 * CHOOSE(CONTROL!$C$23, $C$13, 100%, $E$13)</f>
        <v>16.453600000000002</v>
      </c>
      <c r="H851" s="67">
        <f>30.0709* CHOOSE(CONTROL!$C$23, $C$13, 100%, $E$13)</f>
        <v>30.070900000000002</v>
      </c>
      <c r="I851" s="67">
        <f>30.0776 * CHOOSE(CONTROL!$C$23, $C$13, 100%, $E$13)</f>
        <v>30.0776</v>
      </c>
      <c r="J851" s="67">
        <f>16.4469 * CHOOSE(CONTROL!$C$23, $C$13, 100%, $E$13)</f>
        <v>16.446899999999999</v>
      </c>
      <c r="K851" s="67">
        <f>16.4536 * CHOOSE(CONTROL!$C$23, $C$13, 100%, $E$13)</f>
        <v>16.453600000000002</v>
      </c>
    </row>
    <row r="852" spans="1:11" ht="15">
      <c r="A852" s="13">
        <v>67054</v>
      </c>
      <c r="B852" s="66">
        <f>14.3051 * CHOOSE(CONTROL!$C$23, $C$13, 100%, $E$13)</f>
        <v>14.305099999999999</v>
      </c>
      <c r="C852" s="66">
        <f>14.3051 * CHOOSE(CONTROL!$C$23, $C$13, 100%, $E$13)</f>
        <v>14.305099999999999</v>
      </c>
      <c r="D852" s="66">
        <f>14.3106 * CHOOSE(CONTROL!$C$23, $C$13, 100%, $E$13)</f>
        <v>14.310600000000001</v>
      </c>
      <c r="E852" s="67">
        <f>16.1805 * CHOOSE(CONTROL!$C$23, $C$13, 100%, $E$13)</f>
        <v>16.180499999999999</v>
      </c>
      <c r="F852" s="67">
        <f>16.1805 * CHOOSE(CONTROL!$C$23, $C$13, 100%, $E$13)</f>
        <v>16.180499999999999</v>
      </c>
      <c r="G852" s="67">
        <f>16.1872 * CHOOSE(CONTROL!$C$23, $C$13, 100%, $E$13)</f>
        <v>16.187200000000001</v>
      </c>
      <c r="H852" s="67">
        <f>30.1335* CHOOSE(CONTROL!$C$23, $C$13, 100%, $E$13)</f>
        <v>30.133500000000002</v>
      </c>
      <c r="I852" s="67">
        <f>30.1403 * CHOOSE(CONTROL!$C$23, $C$13, 100%, $E$13)</f>
        <v>30.1403</v>
      </c>
      <c r="J852" s="67">
        <f>16.1805 * CHOOSE(CONTROL!$C$23, $C$13, 100%, $E$13)</f>
        <v>16.180499999999999</v>
      </c>
      <c r="K852" s="67">
        <f>16.1872 * CHOOSE(CONTROL!$C$23, $C$13, 100%, $E$13)</f>
        <v>16.187200000000001</v>
      </c>
    </row>
    <row r="853" spans="1:11" ht="15">
      <c r="A853" s="13">
        <v>67085</v>
      </c>
      <c r="B853" s="66">
        <f>14.3021 * CHOOSE(CONTROL!$C$23, $C$13, 100%, $E$13)</f>
        <v>14.302099999999999</v>
      </c>
      <c r="C853" s="66">
        <f>14.3021 * CHOOSE(CONTROL!$C$23, $C$13, 100%, $E$13)</f>
        <v>14.302099999999999</v>
      </c>
      <c r="D853" s="66">
        <f>14.3076 * CHOOSE(CONTROL!$C$23, $C$13, 100%, $E$13)</f>
        <v>14.307600000000001</v>
      </c>
      <c r="E853" s="67">
        <f>16.1482 * CHOOSE(CONTROL!$C$23, $C$13, 100%, $E$13)</f>
        <v>16.148199999999999</v>
      </c>
      <c r="F853" s="67">
        <f>16.1482 * CHOOSE(CONTROL!$C$23, $C$13, 100%, $E$13)</f>
        <v>16.148199999999999</v>
      </c>
      <c r="G853" s="67">
        <f>16.155 * CHOOSE(CONTROL!$C$23, $C$13, 100%, $E$13)</f>
        <v>16.155000000000001</v>
      </c>
      <c r="H853" s="67">
        <f>30.1963* CHOOSE(CONTROL!$C$23, $C$13, 100%, $E$13)</f>
        <v>30.196300000000001</v>
      </c>
      <c r="I853" s="67">
        <f>30.2031 * CHOOSE(CONTROL!$C$23, $C$13, 100%, $E$13)</f>
        <v>30.203099999999999</v>
      </c>
      <c r="J853" s="67">
        <f>16.1482 * CHOOSE(CONTROL!$C$23, $C$13, 100%, $E$13)</f>
        <v>16.148199999999999</v>
      </c>
      <c r="K853" s="67">
        <f>16.155 * CHOOSE(CONTROL!$C$23, $C$13, 100%, $E$13)</f>
        <v>16.155000000000001</v>
      </c>
    </row>
    <row r="854" spans="1:11" ht="15">
      <c r="A854" s="13">
        <v>67115</v>
      </c>
      <c r="B854" s="66">
        <f>14.3303 * CHOOSE(CONTROL!$C$23, $C$13, 100%, $E$13)</f>
        <v>14.330299999999999</v>
      </c>
      <c r="C854" s="66">
        <f>14.3303 * CHOOSE(CONTROL!$C$23, $C$13, 100%, $E$13)</f>
        <v>14.330299999999999</v>
      </c>
      <c r="D854" s="66">
        <f>14.3342 * CHOOSE(CONTROL!$C$23, $C$13, 100%, $E$13)</f>
        <v>14.334199999999999</v>
      </c>
      <c r="E854" s="67">
        <f>16.2553 * CHOOSE(CONTROL!$C$23, $C$13, 100%, $E$13)</f>
        <v>16.255299999999998</v>
      </c>
      <c r="F854" s="67">
        <f>16.2553 * CHOOSE(CONTROL!$C$23, $C$13, 100%, $E$13)</f>
        <v>16.255299999999998</v>
      </c>
      <c r="G854" s="67">
        <f>16.2601 * CHOOSE(CONTROL!$C$23, $C$13, 100%, $E$13)</f>
        <v>16.260100000000001</v>
      </c>
      <c r="H854" s="67">
        <f>30.2592* CHOOSE(CONTROL!$C$23, $C$13, 100%, $E$13)</f>
        <v>30.2592</v>
      </c>
      <c r="I854" s="67">
        <f>30.264 * CHOOSE(CONTROL!$C$23, $C$13, 100%, $E$13)</f>
        <v>30.263999999999999</v>
      </c>
      <c r="J854" s="67">
        <f>16.2553 * CHOOSE(CONTROL!$C$23, $C$13, 100%, $E$13)</f>
        <v>16.255299999999998</v>
      </c>
      <c r="K854" s="67">
        <f>16.2601 * CHOOSE(CONTROL!$C$23, $C$13, 100%, $E$13)</f>
        <v>16.260100000000001</v>
      </c>
    </row>
    <row r="855" spans="1:11" ht="15">
      <c r="A855" s="13">
        <v>67146</v>
      </c>
      <c r="B855" s="66">
        <f>14.3333 * CHOOSE(CONTROL!$C$23, $C$13, 100%, $E$13)</f>
        <v>14.333299999999999</v>
      </c>
      <c r="C855" s="66">
        <f>14.3333 * CHOOSE(CONTROL!$C$23, $C$13, 100%, $E$13)</f>
        <v>14.333299999999999</v>
      </c>
      <c r="D855" s="66">
        <f>14.3372 * CHOOSE(CONTROL!$C$23, $C$13, 100%, $E$13)</f>
        <v>14.337199999999999</v>
      </c>
      <c r="E855" s="67">
        <f>16.3177 * CHOOSE(CONTROL!$C$23, $C$13, 100%, $E$13)</f>
        <v>16.317699999999999</v>
      </c>
      <c r="F855" s="67">
        <f>16.3177 * CHOOSE(CONTROL!$C$23, $C$13, 100%, $E$13)</f>
        <v>16.317699999999999</v>
      </c>
      <c r="G855" s="67">
        <f>16.3224 * CHOOSE(CONTROL!$C$23, $C$13, 100%, $E$13)</f>
        <v>16.322399999999998</v>
      </c>
      <c r="H855" s="67">
        <f>30.3223* CHOOSE(CONTROL!$C$23, $C$13, 100%, $E$13)</f>
        <v>30.322299999999998</v>
      </c>
      <c r="I855" s="67">
        <f>30.327 * CHOOSE(CONTROL!$C$23, $C$13, 100%, $E$13)</f>
        <v>30.327000000000002</v>
      </c>
      <c r="J855" s="67">
        <f>16.3177 * CHOOSE(CONTROL!$C$23, $C$13, 100%, $E$13)</f>
        <v>16.317699999999999</v>
      </c>
      <c r="K855" s="67">
        <f>16.3224 * CHOOSE(CONTROL!$C$23, $C$13, 100%, $E$13)</f>
        <v>16.322399999999998</v>
      </c>
    </row>
    <row r="856" spans="1:11" ht="15">
      <c r="A856" s="13">
        <v>67176</v>
      </c>
      <c r="B856" s="66">
        <f>14.3333 * CHOOSE(CONTROL!$C$23, $C$13, 100%, $E$13)</f>
        <v>14.333299999999999</v>
      </c>
      <c r="C856" s="66">
        <f>14.3333 * CHOOSE(CONTROL!$C$23, $C$13, 100%, $E$13)</f>
        <v>14.333299999999999</v>
      </c>
      <c r="D856" s="66">
        <f>14.3372 * CHOOSE(CONTROL!$C$23, $C$13, 100%, $E$13)</f>
        <v>14.337199999999999</v>
      </c>
      <c r="E856" s="67">
        <f>16.1671 * CHOOSE(CONTROL!$C$23, $C$13, 100%, $E$13)</f>
        <v>16.167100000000001</v>
      </c>
      <c r="F856" s="67">
        <f>16.1671 * CHOOSE(CONTROL!$C$23, $C$13, 100%, $E$13)</f>
        <v>16.167100000000001</v>
      </c>
      <c r="G856" s="67">
        <f>16.1718 * CHOOSE(CONTROL!$C$23, $C$13, 100%, $E$13)</f>
        <v>16.171800000000001</v>
      </c>
      <c r="H856" s="67">
        <f>30.3854* CHOOSE(CONTROL!$C$23, $C$13, 100%, $E$13)</f>
        <v>30.385400000000001</v>
      </c>
      <c r="I856" s="67">
        <f>30.3902 * CHOOSE(CONTROL!$C$23, $C$13, 100%, $E$13)</f>
        <v>30.3902</v>
      </c>
      <c r="J856" s="67">
        <f>16.1671 * CHOOSE(CONTROL!$C$23, $C$13, 100%, $E$13)</f>
        <v>16.167100000000001</v>
      </c>
      <c r="K856" s="67">
        <f>16.1718 * CHOOSE(CONTROL!$C$23, $C$13, 100%, $E$13)</f>
        <v>16.171800000000001</v>
      </c>
    </row>
    <row r="857" spans="1:11" ht="15">
      <c r="A857" s="13">
        <v>67207</v>
      </c>
      <c r="B857" s="66">
        <f>14.3143 * CHOOSE(CONTROL!$C$23, $C$13, 100%, $E$13)</f>
        <v>14.314299999999999</v>
      </c>
      <c r="C857" s="66">
        <f>14.3143 * CHOOSE(CONTROL!$C$23, $C$13, 100%, $E$13)</f>
        <v>14.314299999999999</v>
      </c>
      <c r="D857" s="66">
        <f>14.3182 * CHOOSE(CONTROL!$C$23, $C$13, 100%, $E$13)</f>
        <v>14.318199999999999</v>
      </c>
      <c r="E857" s="67">
        <f>16.2677 * CHOOSE(CONTROL!$C$23, $C$13, 100%, $E$13)</f>
        <v>16.267700000000001</v>
      </c>
      <c r="F857" s="67">
        <f>16.2677 * CHOOSE(CONTROL!$C$23, $C$13, 100%, $E$13)</f>
        <v>16.267700000000001</v>
      </c>
      <c r="G857" s="67">
        <f>16.2725 * CHOOSE(CONTROL!$C$23, $C$13, 100%, $E$13)</f>
        <v>16.272500000000001</v>
      </c>
      <c r="H857" s="67">
        <f>30.1803* CHOOSE(CONTROL!$C$23, $C$13, 100%, $E$13)</f>
        <v>30.180299999999999</v>
      </c>
      <c r="I857" s="67">
        <f>30.1851 * CHOOSE(CONTROL!$C$23, $C$13, 100%, $E$13)</f>
        <v>30.185099999999998</v>
      </c>
      <c r="J857" s="67">
        <f>16.2677 * CHOOSE(CONTROL!$C$23, $C$13, 100%, $E$13)</f>
        <v>16.267700000000001</v>
      </c>
      <c r="K857" s="67">
        <f>16.2725 * CHOOSE(CONTROL!$C$23, $C$13, 100%, $E$13)</f>
        <v>16.272500000000001</v>
      </c>
    </row>
    <row r="858" spans="1:11" ht="15">
      <c r="A858" s="13">
        <v>67238</v>
      </c>
      <c r="B858" s="66">
        <f>14.3113 * CHOOSE(CONTROL!$C$23, $C$13, 100%, $E$13)</f>
        <v>14.311299999999999</v>
      </c>
      <c r="C858" s="66">
        <f>14.3113 * CHOOSE(CONTROL!$C$23, $C$13, 100%, $E$13)</f>
        <v>14.311299999999999</v>
      </c>
      <c r="D858" s="66">
        <f>14.3151 * CHOOSE(CONTROL!$C$23, $C$13, 100%, $E$13)</f>
        <v>14.315099999999999</v>
      </c>
      <c r="E858" s="67">
        <f>15.976 * CHOOSE(CONTROL!$C$23, $C$13, 100%, $E$13)</f>
        <v>15.976000000000001</v>
      </c>
      <c r="F858" s="67">
        <f>15.976 * CHOOSE(CONTROL!$C$23, $C$13, 100%, $E$13)</f>
        <v>15.976000000000001</v>
      </c>
      <c r="G858" s="67">
        <f>15.9808 * CHOOSE(CONTROL!$C$23, $C$13, 100%, $E$13)</f>
        <v>15.9808</v>
      </c>
      <c r="H858" s="67">
        <f>30.2432* CHOOSE(CONTROL!$C$23, $C$13, 100%, $E$13)</f>
        <v>30.243200000000002</v>
      </c>
      <c r="I858" s="67">
        <f>30.2479 * CHOOSE(CONTROL!$C$23, $C$13, 100%, $E$13)</f>
        <v>30.247900000000001</v>
      </c>
      <c r="J858" s="67">
        <f>15.976 * CHOOSE(CONTROL!$C$23, $C$13, 100%, $E$13)</f>
        <v>15.976000000000001</v>
      </c>
      <c r="K858" s="67">
        <f>15.9808 * CHOOSE(CONTROL!$C$23, $C$13, 100%, $E$13)</f>
        <v>15.9808</v>
      </c>
    </row>
    <row r="859" spans="1:11" ht="15">
      <c r="A859" s="13">
        <v>67267</v>
      </c>
      <c r="B859" s="66">
        <f>14.3082 * CHOOSE(CONTROL!$C$23, $C$13, 100%, $E$13)</f>
        <v>14.308199999999999</v>
      </c>
      <c r="C859" s="66">
        <f>14.3082 * CHOOSE(CONTROL!$C$23, $C$13, 100%, $E$13)</f>
        <v>14.308199999999999</v>
      </c>
      <c r="D859" s="66">
        <f>14.3121 * CHOOSE(CONTROL!$C$23, $C$13, 100%, $E$13)</f>
        <v>14.312099999999999</v>
      </c>
      <c r="E859" s="67">
        <f>16.2022 * CHOOSE(CONTROL!$C$23, $C$13, 100%, $E$13)</f>
        <v>16.202200000000001</v>
      </c>
      <c r="F859" s="67">
        <f>16.2022 * CHOOSE(CONTROL!$C$23, $C$13, 100%, $E$13)</f>
        <v>16.202200000000001</v>
      </c>
      <c r="G859" s="67">
        <f>16.2069 * CHOOSE(CONTROL!$C$23, $C$13, 100%, $E$13)</f>
        <v>16.206900000000001</v>
      </c>
      <c r="H859" s="67">
        <f>30.3062* CHOOSE(CONTROL!$C$23, $C$13, 100%, $E$13)</f>
        <v>30.3062</v>
      </c>
      <c r="I859" s="67">
        <f>30.3109 * CHOOSE(CONTROL!$C$23, $C$13, 100%, $E$13)</f>
        <v>30.3109</v>
      </c>
      <c r="J859" s="67">
        <f>16.2022 * CHOOSE(CONTROL!$C$23, $C$13, 100%, $E$13)</f>
        <v>16.202200000000001</v>
      </c>
      <c r="K859" s="67">
        <f>16.2069 * CHOOSE(CONTROL!$C$23, $C$13, 100%, $E$13)</f>
        <v>16.206900000000001</v>
      </c>
    </row>
    <row r="860" spans="1:11" ht="15">
      <c r="A860" s="13">
        <v>67298</v>
      </c>
      <c r="B860" s="66">
        <f>14.3145 * CHOOSE(CONTROL!$C$23, $C$13, 100%, $E$13)</f>
        <v>14.314500000000001</v>
      </c>
      <c r="C860" s="66">
        <f>14.3145 * CHOOSE(CONTROL!$C$23, $C$13, 100%, $E$13)</f>
        <v>14.314500000000001</v>
      </c>
      <c r="D860" s="66">
        <f>14.3184 * CHOOSE(CONTROL!$C$23, $C$13, 100%, $E$13)</f>
        <v>14.3184</v>
      </c>
      <c r="E860" s="67">
        <f>16.4431 * CHOOSE(CONTROL!$C$23, $C$13, 100%, $E$13)</f>
        <v>16.443100000000001</v>
      </c>
      <c r="F860" s="67">
        <f>16.4431 * CHOOSE(CONTROL!$C$23, $C$13, 100%, $E$13)</f>
        <v>16.443100000000001</v>
      </c>
      <c r="G860" s="67">
        <f>16.4478 * CHOOSE(CONTROL!$C$23, $C$13, 100%, $E$13)</f>
        <v>16.447800000000001</v>
      </c>
      <c r="H860" s="67">
        <f>30.3693* CHOOSE(CONTROL!$C$23, $C$13, 100%, $E$13)</f>
        <v>30.369299999999999</v>
      </c>
      <c r="I860" s="67">
        <f>30.3741 * CHOOSE(CONTROL!$C$23, $C$13, 100%, $E$13)</f>
        <v>30.374099999999999</v>
      </c>
      <c r="J860" s="67">
        <f>16.4431 * CHOOSE(CONTROL!$C$23, $C$13, 100%, $E$13)</f>
        <v>16.443100000000001</v>
      </c>
      <c r="K860" s="67">
        <f>16.4478 * CHOOSE(CONTROL!$C$23, $C$13, 100%, $E$13)</f>
        <v>16.447800000000001</v>
      </c>
    </row>
    <row r="861" spans="1:11" ht="15">
      <c r="A861" s="13">
        <v>67328</v>
      </c>
      <c r="B861" s="66">
        <f>14.3145 * CHOOSE(CONTROL!$C$23, $C$13, 100%, $E$13)</f>
        <v>14.314500000000001</v>
      </c>
      <c r="C861" s="66">
        <f>14.3145 * CHOOSE(CONTROL!$C$23, $C$13, 100%, $E$13)</f>
        <v>14.314500000000001</v>
      </c>
      <c r="D861" s="66">
        <f>14.32 * CHOOSE(CONTROL!$C$23, $C$13, 100%, $E$13)</f>
        <v>14.32</v>
      </c>
      <c r="E861" s="67">
        <f>16.535 * CHOOSE(CONTROL!$C$23, $C$13, 100%, $E$13)</f>
        <v>16.535</v>
      </c>
      <c r="F861" s="67">
        <f>16.535 * CHOOSE(CONTROL!$C$23, $C$13, 100%, $E$13)</f>
        <v>16.535</v>
      </c>
      <c r="G861" s="67">
        <f>16.5417 * CHOOSE(CONTROL!$C$23, $C$13, 100%, $E$13)</f>
        <v>16.541699999999999</v>
      </c>
      <c r="H861" s="67">
        <f>30.4326* CHOOSE(CONTROL!$C$23, $C$13, 100%, $E$13)</f>
        <v>30.432600000000001</v>
      </c>
      <c r="I861" s="67">
        <f>30.4393 * CHOOSE(CONTROL!$C$23, $C$13, 100%, $E$13)</f>
        <v>30.439299999999999</v>
      </c>
      <c r="J861" s="67">
        <f>16.535 * CHOOSE(CONTROL!$C$23, $C$13, 100%, $E$13)</f>
        <v>16.535</v>
      </c>
      <c r="K861" s="67">
        <f>16.5417 * CHOOSE(CONTROL!$C$23, $C$13, 100%, $E$13)</f>
        <v>16.541699999999999</v>
      </c>
    </row>
    <row r="862" spans="1:11" ht="15">
      <c r="A862" s="13">
        <v>67359</v>
      </c>
      <c r="B862" s="66">
        <f>14.3206 * CHOOSE(CONTROL!$C$23, $C$13, 100%, $E$13)</f>
        <v>14.320600000000001</v>
      </c>
      <c r="C862" s="66">
        <f>14.3206 * CHOOSE(CONTROL!$C$23, $C$13, 100%, $E$13)</f>
        <v>14.320600000000001</v>
      </c>
      <c r="D862" s="66">
        <f>14.3261 * CHOOSE(CONTROL!$C$23, $C$13, 100%, $E$13)</f>
        <v>14.3261</v>
      </c>
      <c r="E862" s="67">
        <f>16.4473 * CHOOSE(CONTROL!$C$23, $C$13, 100%, $E$13)</f>
        <v>16.447299999999998</v>
      </c>
      <c r="F862" s="67">
        <f>16.4473 * CHOOSE(CONTROL!$C$23, $C$13, 100%, $E$13)</f>
        <v>16.447299999999998</v>
      </c>
      <c r="G862" s="67">
        <f>16.454 * CHOOSE(CONTROL!$C$23, $C$13, 100%, $E$13)</f>
        <v>16.454000000000001</v>
      </c>
      <c r="H862" s="67">
        <f>30.496* CHOOSE(CONTROL!$C$23, $C$13, 100%, $E$13)</f>
        <v>30.495999999999999</v>
      </c>
      <c r="I862" s="67">
        <f>30.5027 * CHOOSE(CONTROL!$C$23, $C$13, 100%, $E$13)</f>
        <v>30.502700000000001</v>
      </c>
      <c r="J862" s="67">
        <f>16.4473 * CHOOSE(CONTROL!$C$23, $C$13, 100%, $E$13)</f>
        <v>16.447299999999998</v>
      </c>
      <c r="K862" s="67">
        <f>16.454 * CHOOSE(CONTROL!$C$23, $C$13, 100%, $E$13)</f>
        <v>16.454000000000001</v>
      </c>
    </row>
    <row r="863" spans="1:11" ht="15">
      <c r="A863" s="13">
        <v>67389</v>
      </c>
      <c r="B863" s="66">
        <f>14.5376 * CHOOSE(CONTROL!$C$23, $C$13, 100%, $E$13)</f>
        <v>14.537599999999999</v>
      </c>
      <c r="C863" s="66">
        <f>14.5376 * CHOOSE(CONTROL!$C$23, $C$13, 100%, $E$13)</f>
        <v>14.537599999999999</v>
      </c>
      <c r="D863" s="66">
        <f>14.5431 * CHOOSE(CONTROL!$C$23, $C$13, 100%, $E$13)</f>
        <v>14.543100000000001</v>
      </c>
      <c r="E863" s="67">
        <f>16.7087 * CHOOSE(CONTROL!$C$23, $C$13, 100%, $E$13)</f>
        <v>16.7087</v>
      </c>
      <c r="F863" s="67">
        <f>16.7087 * CHOOSE(CONTROL!$C$23, $C$13, 100%, $E$13)</f>
        <v>16.7087</v>
      </c>
      <c r="G863" s="67">
        <f>16.7154 * CHOOSE(CONTROL!$C$23, $C$13, 100%, $E$13)</f>
        <v>16.715399999999999</v>
      </c>
      <c r="H863" s="67">
        <f>30.5595* CHOOSE(CONTROL!$C$23, $C$13, 100%, $E$13)</f>
        <v>30.5595</v>
      </c>
      <c r="I863" s="67">
        <f>30.5662 * CHOOSE(CONTROL!$C$23, $C$13, 100%, $E$13)</f>
        <v>30.566199999999998</v>
      </c>
      <c r="J863" s="67">
        <f>16.7087 * CHOOSE(CONTROL!$C$23, $C$13, 100%, $E$13)</f>
        <v>16.7087</v>
      </c>
      <c r="K863" s="67">
        <f>16.7154 * CHOOSE(CONTROL!$C$23, $C$13, 100%, $E$13)</f>
        <v>16.715399999999999</v>
      </c>
    </row>
    <row r="864" spans="1:11" ht="15">
      <c r="A864" s="13">
        <v>67420</v>
      </c>
      <c r="B864" s="66">
        <f>14.5443 * CHOOSE(CONTROL!$C$23, $C$13, 100%, $E$13)</f>
        <v>14.5443</v>
      </c>
      <c r="C864" s="66">
        <f>14.5443 * CHOOSE(CONTROL!$C$23, $C$13, 100%, $E$13)</f>
        <v>14.5443</v>
      </c>
      <c r="D864" s="66">
        <f>14.5498 * CHOOSE(CONTROL!$C$23, $C$13, 100%, $E$13)</f>
        <v>14.549799999999999</v>
      </c>
      <c r="E864" s="67">
        <f>16.4375 * CHOOSE(CONTROL!$C$23, $C$13, 100%, $E$13)</f>
        <v>16.4375</v>
      </c>
      <c r="F864" s="67">
        <f>16.4375 * CHOOSE(CONTROL!$C$23, $C$13, 100%, $E$13)</f>
        <v>16.4375</v>
      </c>
      <c r="G864" s="67">
        <f>16.4443 * CHOOSE(CONTROL!$C$23, $C$13, 100%, $E$13)</f>
        <v>16.444299999999998</v>
      </c>
      <c r="H864" s="67">
        <f>30.6232* CHOOSE(CONTROL!$C$23, $C$13, 100%, $E$13)</f>
        <v>30.623200000000001</v>
      </c>
      <c r="I864" s="67">
        <f>30.6299 * CHOOSE(CONTROL!$C$23, $C$13, 100%, $E$13)</f>
        <v>30.629899999999999</v>
      </c>
      <c r="J864" s="67">
        <f>16.4375 * CHOOSE(CONTROL!$C$23, $C$13, 100%, $E$13)</f>
        <v>16.4375</v>
      </c>
      <c r="K864" s="67">
        <f>16.4443 * CHOOSE(CONTROL!$C$23, $C$13, 100%, $E$13)</f>
        <v>16.444299999999998</v>
      </c>
    </row>
    <row r="865" spans="1:11" ht="15">
      <c r="A865" s="13">
        <v>67451</v>
      </c>
      <c r="B865" s="66">
        <f>14.5412 * CHOOSE(CONTROL!$C$23, $C$13, 100%, $E$13)</f>
        <v>14.5412</v>
      </c>
      <c r="C865" s="66">
        <f>14.5412 * CHOOSE(CONTROL!$C$23, $C$13, 100%, $E$13)</f>
        <v>14.5412</v>
      </c>
      <c r="D865" s="66">
        <f>14.5468 * CHOOSE(CONTROL!$C$23, $C$13, 100%, $E$13)</f>
        <v>14.546799999999999</v>
      </c>
      <c r="E865" s="67">
        <f>16.4048 * CHOOSE(CONTROL!$C$23, $C$13, 100%, $E$13)</f>
        <v>16.404800000000002</v>
      </c>
      <c r="F865" s="67">
        <f>16.4048 * CHOOSE(CONTROL!$C$23, $C$13, 100%, $E$13)</f>
        <v>16.404800000000002</v>
      </c>
      <c r="G865" s="67">
        <f>16.4115 * CHOOSE(CONTROL!$C$23, $C$13, 100%, $E$13)</f>
        <v>16.4115</v>
      </c>
      <c r="H865" s="67">
        <f>30.687* CHOOSE(CONTROL!$C$23, $C$13, 100%, $E$13)</f>
        <v>30.687000000000001</v>
      </c>
      <c r="I865" s="67">
        <f>30.6937 * CHOOSE(CONTROL!$C$23, $C$13, 100%, $E$13)</f>
        <v>30.6937</v>
      </c>
      <c r="J865" s="67">
        <f>16.4048 * CHOOSE(CONTROL!$C$23, $C$13, 100%, $E$13)</f>
        <v>16.404800000000002</v>
      </c>
      <c r="K865" s="67">
        <f>16.4115 * CHOOSE(CONTROL!$C$23, $C$13, 100%, $E$13)</f>
        <v>16.4115</v>
      </c>
    </row>
    <row r="866" spans="1:11" ht="15">
      <c r="A866" s="13">
        <v>67481</v>
      </c>
      <c r="B866" s="66">
        <f>14.5702 * CHOOSE(CONTROL!$C$23, $C$13, 100%, $E$13)</f>
        <v>14.5702</v>
      </c>
      <c r="C866" s="66">
        <f>14.5702 * CHOOSE(CONTROL!$C$23, $C$13, 100%, $E$13)</f>
        <v>14.5702</v>
      </c>
      <c r="D866" s="66">
        <f>14.5741 * CHOOSE(CONTROL!$C$23, $C$13, 100%, $E$13)</f>
        <v>14.5741</v>
      </c>
      <c r="E866" s="67">
        <f>16.5139 * CHOOSE(CONTROL!$C$23, $C$13, 100%, $E$13)</f>
        <v>16.5139</v>
      </c>
      <c r="F866" s="67">
        <f>16.5139 * CHOOSE(CONTROL!$C$23, $C$13, 100%, $E$13)</f>
        <v>16.5139</v>
      </c>
      <c r="G866" s="67">
        <f>16.5187 * CHOOSE(CONTROL!$C$23, $C$13, 100%, $E$13)</f>
        <v>16.518699999999999</v>
      </c>
      <c r="H866" s="67">
        <f>30.7509* CHOOSE(CONTROL!$C$23, $C$13, 100%, $E$13)</f>
        <v>30.750900000000001</v>
      </c>
      <c r="I866" s="67">
        <f>30.7557 * CHOOSE(CONTROL!$C$23, $C$13, 100%, $E$13)</f>
        <v>30.755700000000001</v>
      </c>
      <c r="J866" s="67">
        <f>16.5139 * CHOOSE(CONTROL!$C$23, $C$13, 100%, $E$13)</f>
        <v>16.5139</v>
      </c>
      <c r="K866" s="67">
        <f>16.5187 * CHOOSE(CONTROL!$C$23, $C$13, 100%, $E$13)</f>
        <v>16.518699999999999</v>
      </c>
    </row>
    <row r="867" spans="1:11" ht="15">
      <c r="A867" s="13">
        <v>67512</v>
      </c>
      <c r="B867" s="66">
        <f>14.5733 * CHOOSE(CONTROL!$C$23, $C$13, 100%, $E$13)</f>
        <v>14.5733</v>
      </c>
      <c r="C867" s="66">
        <f>14.5733 * CHOOSE(CONTROL!$C$23, $C$13, 100%, $E$13)</f>
        <v>14.5733</v>
      </c>
      <c r="D867" s="66">
        <f>14.5771 * CHOOSE(CONTROL!$C$23, $C$13, 100%, $E$13)</f>
        <v>14.5771</v>
      </c>
      <c r="E867" s="67">
        <f>16.5773 * CHOOSE(CONTROL!$C$23, $C$13, 100%, $E$13)</f>
        <v>16.577300000000001</v>
      </c>
      <c r="F867" s="67">
        <f>16.5773 * CHOOSE(CONTROL!$C$23, $C$13, 100%, $E$13)</f>
        <v>16.577300000000001</v>
      </c>
      <c r="G867" s="67">
        <f>16.5821 * CHOOSE(CONTROL!$C$23, $C$13, 100%, $E$13)</f>
        <v>16.582100000000001</v>
      </c>
      <c r="H867" s="67">
        <f>30.815* CHOOSE(CONTROL!$C$23, $C$13, 100%, $E$13)</f>
        <v>30.815000000000001</v>
      </c>
      <c r="I867" s="67">
        <f>30.8197 * CHOOSE(CONTROL!$C$23, $C$13, 100%, $E$13)</f>
        <v>30.819700000000001</v>
      </c>
      <c r="J867" s="67">
        <f>16.5773 * CHOOSE(CONTROL!$C$23, $C$13, 100%, $E$13)</f>
        <v>16.577300000000001</v>
      </c>
      <c r="K867" s="67">
        <f>16.5821 * CHOOSE(CONTROL!$C$23, $C$13, 100%, $E$13)</f>
        <v>16.582100000000001</v>
      </c>
    </row>
    <row r="868" spans="1:11" ht="15">
      <c r="A868" s="13">
        <v>67542</v>
      </c>
      <c r="B868" s="66">
        <f>14.5733 * CHOOSE(CONTROL!$C$23, $C$13, 100%, $E$13)</f>
        <v>14.5733</v>
      </c>
      <c r="C868" s="66">
        <f>14.5733 * CHOOSE(CONTROL!$C$23, $C$13, 100%, $E$13)</f>
        <v>14.5733</v>
      </c>
      <c r="D868" s="66">
        <f>14.5771 * CHOOSE(CONTROL!$C$23, $C$13, 100%, $E$13)</f>
        <v>14.5771</v>
      </c>
      <c r="E868" s="67">
        <f>16.4241 * CHOOSE(CONTROL!$C$23, $C$13, 100%, $E$13)</f>
        <v>16.424099999999999</v>
      </c>
      <c r="F868" s="67">
        <f>16.4241 * CHOOSE(CONTROL!$C$23, $C$13, 100%, $E$13)</f>
        <v>16.424099999999999</v>
      </c>
      <c r="G868" s="67">
        <f>16.4289 * CHOOSE(CONTROL!$C$23, $C$13, 100%, $E$13)</f>
        <v>16.428899999999999</v>
      </c>
      <c r="H868" s="67">
        <f>30.8792* CHOOSE(CONTROL!$C$23, $C$13, 100%, $E$13)</f>
        <v>30.879200000000001</v>
      </c>
      <c r="I868" s="67">
        <f>30.8839 * CHOOSE(CONTROL!$C$23, $C$13, 100%, $E$13)</f>
        <v>30.883900000000001</v>
      </c>
      <c r="J868" s="67">
        <f>16.4241 * CHOOSE(CONTROL!$C$23, $C$13, 100%, $E$13)</f>
        <v>16.424099999999999</v>
      </c>
      <c r="K868" s="67">
        <f>16.4289 * CHOOSE(CONTROL!$C$23, $C$13, 100%, $E$13)</f>
        <v>16.428899999999999</v>
      </c>
    </row>
    <row r="869" spans="1:11" ht="15">
      <c r="A869" s="13">
        <v>67573</v>
      </c>
      <c r="B869" s="66">
        <f>14.5499 * CHOOSE(CONTROL!$C$23, $C$13, 100%, $E$13)</f>
        <v>14.549899999999999</v>
      </c>
      <c r="C869" s="66">
        <f>14.5499 * CHOOSE(CONTROL!$C$23, $C$13, 100%, $E$13)</f>
        <v>14.549899999999999</v>
      </c>
      <c r="D869" s="66">
        <f>14.5537 * CHOOSE(CONTROL!$C$23, $C$13, 100%, $E$13)</f>
        <v>14.553699999999999</v>
      </c>
      <c r="E869" s="67">
        <f>16.5224 * CHOOSE(CONTROL!$C$23, $C$13, 100%, $E$13)</f>
        <v>16.522400000000001</v>
      </c>
      <c r="F869" s="67">
        <f>16.5224 * CHOOSE(CONTROL!$C$23, $C$13, 100%, $E$13)</f>
        <v>16.522400000000001</v>
      </c>
      <c r="G869" s="67">
        <f>16.5272 * CHOOSE(CONTROL!$C$23, $C$13, 100%, $E$13)</f>
        <v>16.527200000000001</v>
      </c>
      <c r="H869" s="67">
        <f>30.6628* CHOOSE(CONTROL!$C$23, $C$13, 100%, $E$13)</f>
        <v>30.662800000000001</v>
      </c>
      <c r="I869" s="67">
        <f>30.6676 * CHOOSE(CONTROL!$C$23, $C$13, 100%, $E$13)</f>
        <v>30.6676</v>
      </c>
      <c r="J869" s="67">
        <f>16.5224 * CHOOSE(CONTROL!$C$23, $C$13, 100%, $E$13)</f>
        <v>16.522400000000001</v>
      </c>
      <c r="K869" s="67">
        <f>16.5272 * CHOOSE(CONTROL!$C$23, $C$13, 100%, $E$13)</f>
        <v>16.527200000000001</v>
      </c>
    </row>
    <row r="870" spans="1:11" ht="15">
      <c r="A870" s="13">
        <v>67604</v>
      </c>
      <c r="B870" s="66">
        <f>14.5468 * CHOOSE(CONTROL!$C$23, $C$13, 100%, $E$13)</f>
        <v>14.546799999999999</v>
      </c>
      <c r="C870" s="66">
        <f>14.5468 * CHOOSE(CONTROL!$C$23, $C$13, 100%, $E$13)</f>
        <v>14.546799999999999</v>
      </c>
      <c r="D870" s="66">
        <f>14.5507 * CHOOSE(CONTROL!$C$23, $C$13, 100%, $E$13)</f>
        <v>14.550700000000001</v>
      </c>
      <c r="E870" s="67">
        <f>16.2258 * CHOOSE(CONTROL!$C$23, $C$13, 100%, $E$13)</f>
        <v>16.2258</v>
      </c>
      <c r="F870" s="67">
        <f>16.2258 * CHOOSE(CONTROL!$C$23, $C$13, 100%, $E$13)</f>
        <v>16.2258</v>
      </c>
      <c r="G870" s="67">
        <f>16.2306 * CHOOSE(CONTROL!$C$23, $C$13, 100%, $E$13)</f>
        <v>16.230599999999999</v>
      </c>
      <c r="H870" s="67">
        <f>30.7267* CHOOSE(CONTROL!$C$23, $C$13, 100%, $E$13)</f>
        <v>30.726700000000001</v>
      </c>
      <c r="I870" s="67">
        <f>30.7315 * CHOOSE(CONTROL!$C$23, $C$13, 100%, $E$13)</f>
        <v>30.7315</v>
      </c>
      <c r="J870" s="67">
        <f>16.2258 * CHOOSE(CONTROL!$C$23, $C$13, 100%, $E$13)</f>
        <v>16.2258</v>
      </c>
      <c r="K870" s="67">
        <f>16.2306 * CHOOSE(CONTROL!$C$23, $C$13, 100%, $E$13)</f>
        <v>16.230599999999999</v>
      </c>
    </row>
    <row r="871" spans="1:11" ht="15">
      <c r="A871" s="13">
        <v>67632</v>
      </c>
      <c r="B871" s="66">
        <f>14.5438 * CHOOSE(CONTROL!$C$23, $C$13, 100%, $E$13)</f>
        <v>14.543799999999999</v>
      </c>
      <c r="C871" s="66">
        <f>14.5438 * CHOOSE(CONTROL!$C$23, $C$13, 100%, $E$13)</f>
        <v>14.543799999999999</v>
      </c>
      <c r="D871" s="66">
        <f>14.5477 * CHOOSE(CONTROL!$C$23, $C$13, 100%, $E$13)</f>
        <v>14.547700000000001</v>
      </c>
      <c r="E871" s="67">
        <f>16.4558 * CHOOSE(CONTROL!$C$23, $C$13, 100%, $E$13)</f>
        <v>16.4558</v>
      </c>
      <c r="F871" s="67">
        <f>16.4558 * CHOOSE(CONTROL!$C$23, $C$13, 100%, $E$13)</f>
        <v>16.4558</v>
      </c>
      <c r="G871" s="67">
        <f>16.4606 * CHOOSE(CONTROL!$C$23, $C$13, 100%, $E$13)</f>
        <v>16.460599999999999</v>
      </c>
      <c r="H871" s="67">
        <f>30.7907* CHOOSE(CONTROL!$C$23, $C$13, 100%, $E$13)</f>
        <v>30.790700000000001</v>
      </c>
      <c r="I871" s="67">
        <f>30.7955 * CHOOSE(CONTROL!$C$23, $C$13, 100%, $E$13)</f>
        <v>30.795500000000001</v>
      </c>
      <c r="J871" s="67">
        <f>16.4558 * CHOOSE(CONTROL!$C$23, $C$13, 100%, $E$13)</f>
        <v>16.4558</v>
      </c>
      <c r="K871" s="67">
        <f>16.4606 * CHOOSE(CONTROL!$C$23, $C$13, 100%, $E$13)</f>
        <v>16.460599999999999</v>
      </c>
    </row>
    <row r="872" spans="1:11" ht="15">
      <c r="A872" s="13">
        <v>67663</v>
      </c>
      <c r="B872" s="66">
        <f>14.5503 * CHOOSE(CONTROL!$C$23, $C$13, 100%, $E$13)</f>
        <v>14.5503</v>
      </c>
      <c r="C872" s="66">
        <f>14.5503 * CHOOSE(CONTROL!$C$23, $C$13, 100%, $E$13)</f>
        <v>14.5503</v>
      </c>
      <c r="D872" s="66">
        <f>14.5541 * CHOOSE(CONTROL!$C$23, $C$13, 100%, $E$13)</f>
        <v>14.5541</v>
      </c>
      <c r="E872" s="67">
        <f>16.7009 * CHOOSE(CONTROL!$C$23, $C$13, 100%, $E$13)</f>
        <v>16.700900000000001</v>
      </c>
      <c r="F872" s="67">
        <f>16.7009 * CHOOSE(CONTROL!$C$23, $C$13, 100%, $E$13)</f>
        <v>16.700900000000001</v>
      </c>
      <c r="G872" s="67">
        <f>16.7057 * CHOOSE(CONTROL!$C$23, $C$13, 100%, $E$13)</f>
        <v>16.7057</v>
      </c>
      <c r="H872" s="67">
        <f>30.8549* CHOOSE(CONTROL!$C$23, $C$13, 100%, $E$13)</f>
        <v>30.854900000000001</v>
      </c>
      <c r="I872" s="67">
        <f>30.8596 * CHOOSE(CONTROL!$C$23, $C$13, 100%, $E$13)</f>
        <v>30.8596</v>
      </c>
      <c r="J872" s="67">
        <f>16.7009 * CHOOSE(CONTROL!$C$23, $C$13, 100%, $E$13)</f>
        <v>16.700900000000001</v>
      </c>
      <c r="K872" s="67">
        <f>16.7057 * CHOOSE(CONTROL!$C$23, $C$13, 100%, $E$13)</f>
        <v>16.7057</v>
      </c>
    </row>
    <row r="873" spans="1:11" ht="15">
      <c r="A873" s="13">
        <v>67693</v>
      </c>
      <c r="B873" s="66">
        <f>14.5503 * CHOOSE(CONTROL!$C$23, $C$13, 100%, $E$13)</f>
        <v>14.5503</v>
      </c>
      <c r="C873" s="66">
        <f>14.5503 * CHOOSE(CONTROL!$C$23, $C$13, 100%, $E$13)</f>
        <v>14.5503</v>
      </c>
      <c r="D873" s="66">
        <f>14.5558 * CHOOSE(CONTROL!$C$23, $C$13, 100%, $E$13)</f>
        <v>14.5558</v>
      </c>
      <c r="E873" s="67">
        <f>16.7944 * CHOOSE(CONTROL!$C$23, $C$13, 100%, $E$13)</f>
        <v>16.7944</v>
      </c>
      <c r="F873" s="67">
        <f>16.7944 * CHOOSE(CONTROL!$C$23, $C$13, 100%, $E$13)</f>
        <v>16.7944</v>
      </c>
      <c r="G873" s="67">
        <f>16.8012 * CHOOSE(CONTROL!$C$23, $C$13, 100%, $E$13)</f>
        <v>16.801200000000001</v>
      </c>
      <c r="H873" s="67">
        <f>30.9192* CHOOSE(CONTROL!$C$23, $C$13, 100%, $E$13)</f>
        <v>30.9192</v>
      </c>
      <c r="I873" s="67">
        <f>30.9259 * CHOOSE(CONTROL!$C$23, $C$13, 100%, $E$13)</f>
        <v>30.925899999999999</v>
      </c>
      <c r="J873" s="67">
        <f>16.7944 * CHOOSE(CONTROL!$C$23, $C$13, 100%, $E$13)</f>
        <v>16.7944</v>
      </c>
      <c r="K873" s="67">
        <f>16.8012 * CHOOSE(CONTROL!$C$23, $C$13, 100%, $E$13)</f>
        <v>16.801200000000001</v>
      </c>
    </row>
    <row r="874" spans="1:11" ht="15">
      <c r="A874" s="13">
        <v>67724</v>
      </c>
      <c r="B874" s="66">
        <f>14.5564 * CHOOSE(CONTROL!$C$23, $C$13, 100%, $E$13)</f>
        <v>14.5564</v>
      </c>
      <c r="C874" s="66">
        <f>14.5564 * CHOOSE(CONTROL!$C$23, $C$13, 100%, $E$13)</f>
        <v>14.5564</v>
      </c>
      <c r="D874" s="66">
        <f>14.5619 * CHOOSE(CONTROL!$C$23, $C$13, 100%, $E$13)</f>
        <v>14.5619</v>
      </c>
      <c r="E874" s="67">
        <f>16.7052 * CHOOSE(CONTROL!$C$23, $C$13, 100%, $E$13)</f>
        <v>16.705200000000001</v>
      </c>
      <c r="F874" s="67">
        <f>16.7052 * CHOOSE(CONTROL!$C$23, $C$13, 100%, $E$13)</f>
        <v>16.705200000000001</v>
      </c>
      <c r="G874" s="67">
        <f>16.7119 * CHOOSE(CONTROL!$C$23, $C$13, 100%, $E$13)</f>
        <v>16.7119</v>
      </c>
      <c r="H874" s="67">
        <f>30.9836* CHOOSE(CONTROL!$C$23, $C$13, 100%, $E$13)</f>
        <v>30.983599999999999</v>
      </c>
      <c r="I874" s="67">
        <f>30.9903 * CHOOSE(CONTROL!$C$23, $C$13, 100%, $E$13)</f>
        <v>30.990300000000001</v>
      </c>
      <c r="J874" s="67">
        <f>16.7052 * CHOOSE(CONTROL!$C$23, $C$13, 100%, $E$13)</f>
        <v>16.705200000000001</v>
      </c>
      <c r="K874" s="67">
        <f>16.7119 * CHOOSE(CONTROL!$C$23, $C$13, 100%, $E$13)</f>
        <v>16.7119</v>
      </c>
    </row>
    <row r="875" spans="1:11" ht="15">
      <c r="A875" s="13">
        <v>67754</v>
      </c>
      <c r="B875" s="66">
        <f>14.7768 * CHOOSE(CONTROL!$C$23, $C$13, 100%, $E$13)</f>
        <v>14.7768</v>
      </c>
      <c r="C875" s="66">
        <f>14.7768 * CHOOSE(CONTROL!$C$23, $C$13, 100%, $E$13)</f>
        <v>14.7768</v>
      </c>
      <c r="D875" s="66">
        <f>14.7823 * CHOOSE(CONTROL!$C$23, $C$13, 100%, $E$13)</f>
        <v>14.782299999999999</v>
      </c>
      <c r="E875" s="67">
        <f>16.9704 * CHOOSE(CONTROL!$C$23, $C$13, 100%, $E$13)</f>
        <v>16.970400000000001</v>
      </c>
      <c r="F875" s="67">
        <f>16.9704 * CHOOSE(CONTROL!$C$23, $C$13, 100%, $E$13)</f>
        <v>16.970400000000001</v>
      </c>
      <c r="G875" s="67">
        <f>16.9772 * CHOOSE(CONTROL!$C$23, $C$13, 100%, $E$13)</f>
        <v>16.9772</v>
      </c>
      <c r="H875" s="67">
        <f>31.0481* CHOOSE(CONTROL!$C$23, $C$13, 100%, $E$13)</f>
        <v>31.048100000000002</v>
      </c>
      <c r="I875" s="67">
        <f>31.0549 * CHOOSE(CONTROL!$C$23, $C$13, 100%, $E$13)</f>
        <v>31.0549</v>
      </c>
      <c r="J875" s="67">
        <f>16.9704 * CHOOSE(CONTROL!$C$23, $C$13, 100%, $E$13)</f>
        <v>16.970400000000001</v>
      </c>
      <c r="K875" s="67">
        <f>16.9772 * CHOOSE(CONTROL!$C$23, $C$13, 100%, $E$13)</f>
        <v>16.9772</v>
      </c>
    </row>
    <row r="876" spans="1:11" ht="15">
      <c r="A876" s="13">
        <v>67785</v>
      </c>
      <c r="B876" s="66">
        <f>14.7835 * CHOOSE(CONTROL!$C$23, $C$13, 100%, $E$13)</f>
        <v>14.7835</v>
      </c>
      <c r="C876" s="66">
        <f>14.7835 * CHOOSE(CONTROL!$C$23, $C$13, 100%, $E$13)</f>
        <v>14.7835</v>
      </c>
      <c r="D876" s="66">
        <f>14.789 * CHOOSE(CONTROL!$C$23, $C$13, 100%, $E$13)</f>
        <v>14.789</v>
      </c>
      <c r="E876" s="67">
        <f>16.6946 * CHOOSE(CONTROL!$C$23, $C$13, 100%, $E$13)</f>
        <v>16.694600000000001</v>
      </c>
      <c r="F876" s="67">
        <f>16.6946 * CHOOSE(CONTROL!$C$23, $C$13, 100%, $E$13)</f>
        <v>16.694600000000001</v>
      </c>
      <c r="G876" s="67">
        <f>16.7014 * CHOOSE(CONTROL!$C$23, $C$13, 100%, $E$13)</f>
        <v>16.7014</v>
      </c>
      <c r="H876" s="67">
        <f>31.1128* CHOOSE(CONTROL!$C$23, $C$13, 100%, $E$13)</f>
        <v>31.1128</v>
      </c>
      <c r="I876" s="67">
        <f>31.1195 * CHOOSE(CONTROL!$C$23, $C$13, 100%, $E$13)</f>
        <v>31.119499999999999</v>
      </c>
      <c r="J876" s="67">
        <f>16.6946 * CHOOSE(CONTROL!$C$23, $C$13, 100%, $E$13)</f>
        <v>16.694600000000001</v>
      </c>
      <c r="K876" s="67">
        <f>16.7014 * CHOOSE(CONTROL!$C$23, $C$13, 100%, $E$13)</f>
        <v>16.7014</v>
      </c>
    </row>
    <row r="877" spans="1:11" ht="15">
      <c r="A877" s="13">
        <v>67816</v>
      </c>
      <c r="B877" s="66">
        <f>14.7804 * CHOOSE(CONTROL!$C$23, $C$13, 100%, $E$13)</f>
        <v>14.7804</v>
      </c>
      <c r="C877" s="66">
        <f>14.7804 * CHOOSE(CONTROL!$C$23, $C$13, 100%, $E$13)</f>
        <v>14.7804</v>
      </c>
      <c r="D877" s="66">
        <f>14.7859 * CHOOSE(CONTROL!$C$23, $C$13, 100%, $E$13)</f>
        <v>14.7859</v>
      </c>
      <c r="E877" s="67">
        <f>16.6613 * CHOOSE(CONTROL!$C$23, $C$13, 100%, $E$13)</f>
        <v>16.661300000000001</v>
      </c>
      <c r="F877" s="67">
        <f>16.6613 * CHOOSE(CONTROL!$C$23, $C$13, 100%, $E$13)</f>
        <v>16.661300000000001</v>
      </c>
      <c r="G877" s="67">
        <f>16.6681 * CHOOSE(CONTROL!$C$23, $C$13, 100%, $E$13)</f>
        <v>16.668099999999999</v>
      </c>
      <c r="H877" s="67">
        <f>31.1776* CHOOSE(CONTROL!$C$23, $C$13, 100%, $E$13)</f>
        <v>31.177600000000002</v>
      </c>
      <c r="I877" s="67">
        <f>31.1844 * CHOOSE(CONTROL!$C$23, $C$13, 100%, $E$13)</f>
        <v>31.1844</v>
      </c>
      <c r="J877" s="67">
        <f>16.6613 * CHOOSE(CONTROL!$C$23, $C$13, 100%, $E$13)</f>
        <v>16.661300000000001</v>
      </c>
      <c r="K877" s="67">
        <f>16.6681 * CHOOSE(CONTROL!$C$23, $C$13, 100%, $E$13)</f>
        <v>16.668099999999999</v>
      </c>
    </row>
    <row r="878" spans="1:11" ht="15">
      <c r="A878" s="13">
        <v>67846</v>
      </c>
      <c r="B878" s="66">
        <f>14.8102 * CHOOSE(CONTROL!$C$23, $C$13, 100%, $E$13)</f>
        <v>14.8102</v>
      </c>
      <c r="C878" s="66">
        <f>14.8102 * CHOOSE(CONTROL!$C$23, $C$13, 100%, $E$13)</f>
        <v>14.8102</v>
      </c>
      <c r="D878" s="66">
        <f>14.814 * CHOOSE(CONTROL!$C$23, $C$13, 100%, $E$13)</f>
        <v>14.814</v>
      </c>
      <c r="E878" s="67">
        <f>16.7726 * CHOOSE(CONTROL!$C$23, $C$13, 100%, $E$13)</f>
        <v>16.772600000000001</v>
      </c>
      <c r="F878" s="67">
        <f>16.7726 * CHOOSE(CONTROL!$C$23, $C$13, 100%, $E$13)</f>
        <v>16.772600000000001</v>
      </c>
      <c r="G878" s="67">
        <f>16.7773 * CHOOSE(CONTROL!$C$23, $C$13, 100%, $E$13)</f>
        <v>16.7773</v>
      </c>
      <c r="H878" s="67">
        <f>31.2426* CHOOSE(CONTROL!$C$23, $C$13, 100%, $E$13)</f>
        <v>31.242599999999999</v>
      </c>
      <c r="I878" s="67">
        <f>31.2473 * CHOOSE(CONTROL!$C$23, $C$13, 100%, $E$13)</f>
        <v>31.247299999999999</v>
      </c>
      <c r="J878" s="67">
        <f>16.7726 * CHOOSE(CONTROL!$C$23, $C$13, 100%, $E$13)</f>
        <v>16.772600000000001</v>
      </c>
      <c r="K878" s="67">
        <f>16.7773 * CHOOSE(CONTROL!$C$23, $C$13, 100%, $E$13)</f>
        <v>16.7773</v>
      </c>
    </row>
    <row r="879" spans="1:11" ht="15">
      <c r="A879" s="13">
        <v>67877</v>
      </c>
      <c r="B879" s="66">
        <f>14.8132 * CHOOSE(CONTROL!$C$23, $C$13, 100%, $E$13)</f>
        <v>14.8132</v>
      </c>
      <c r="C879" s="66">
        <f>14.8132 * CHOOSE(CONTROL!$C$23, $C$13, 100%, $E$13)</f>
        <v>14.8132</v>
      </c>
      <c r="D879" s="66">
        <f>14.8171 * CHOOSE(CONTROL!$C$23, $C$13, 100%, $E$13)</f>
        <v>14.8171</v>
      </c>
      <c r="E879" s="67">
        <f>16.837 * CHOOSE(CONTROL!$C$23, $C$13, 100%, $E$13)</f>
        <v>16.837</v>
      </c>
      <c r="F879" s="67">
        <f>16.837 * CHOOSE(CONTROL!$C$23, $C$13, 100%, $E$13)</f>
        <v>16.837</v>
      </c>
      <c r="G879" s="67">
        <f>16.8418 * CHOOSE(CONTROL!$C$23, $C$13, 100%, $E$13)</f>
        <v>16.841799999999999</v>
      </c>
      <c r="H879" s="67">
        <f>31.3077* CHOOSE(CONTROL!$C$23, $C$13, 100%, $E$13)</f>
        <v>31.307700000000001</v>
      </c>
      <c r="I879" s="67">
        <f>31.3124 * CHOOSE(CONTROL!$C$23, $C$13, 100%, $E$13)</f>
        <v>31.3124</v>
      </c>
      <c r="J879" s="67">
        <f>16.837 * CHOOSE(CONTROL!$C$23, $C$13, 100%, $E$13)</f>
        <v>16.837</v>
      </c>
      <c r="K879" s="67">
        <f>16.8418 * CHOOSE(CONTROL!$C$23, $C$13, 100%, $E$13)</f>
        <v>16.841799999999999</v>
      </c>
    </row>
    <row r="880" spans="1:11" ht="15">
      <c r="A880" s="13">
        <v>67907</v>
      </c>
      <c r="B880" s="66">
        <f>14.8132 * CHOOSE(CONTROL!$C$23, $C$13, 100%, $E$13)</f>
        <v>14.8132</v>
      </c>
      <c r="C880" s="66">
        <f>14.8132 * CHOOSE(CONTROL!$C$23, $C$13, 100%, $E$13)</f>
        <v>14.8132</v>
      </c>
      <c r="D880" s="66">
        <f>14.8171 * CHOOSE(CONTROL!$C$23, $C$13, 100%, $E$13)</f>
        <v>14.8171</v>
      </c>
      <c r="E880" s="67">
        <f>16.6812 * CHOOSE(CONTROL!$C$23, $C$13, 100%, $E$13)</f>
        <v>16.6812</v>
      </c>
      <c r="F880" s="67">
        <f>16.6812 * CHOOSE(CONTROL!$C$23, $C$13, 100%, $E$13)</f>
        <v>16.6812</v>
      </c>
      <c r="G880" s="67">
        <f>16.686 * CHOOSE(CONTROL!$C$23, $C$13, 100%, $E$13)</f>
        <v>16.686</v>
      </c>
      <c r="H880" s="67">
        <f>31.3729* CHOOSE(CONTROL!$C$23, $C$13, 100%, $E$13)</f>
        <v>31.372900000000001</v>
      </c>
      <c r="I880" s="67">
        <f>31.3777 * CHOOSE(CONTROL!$C$23, $C$13, 100%, $E$13)</f>
        <v>31.377700000000001</v>
      </c>
      <c r="J880" s="67">
        <f>16.6812 * CHOOSE(CONTROL!$C$23, $C$13, 100%, $E$13)</f>
        <v>16.6812</v>
      </c>
      <c r="K880" s="67">
        <f>16.686 * CHOOSE(CONTROL!$C$23, $C$13, 100%, $E$13)</f>
        <v>16.686</v>
      </c>
    </row>
    <row r="881" spans="1:11" ht="15">
      <c r="A881" s="13">
        <v>67938</v>
      </c>
      <c r="B881" s="66">
        <f>14.7854 * CHOOSE(CONTROL!$C$23, $C$13, 100%, $E$13)</f>
        <v>14.785399999999999</v>
      </c>
      <c r="C881" s="66">
        <f>14.7854 * CHOOSE(CONTROL!$C$23, $C$13, 100%, $E$13)</f>
        <v>14.785399999999999</v>
      </c>
      <c r="D881" s="66">
        <f>14.7893 * CHOOSE(CONTROL!$C$23, $C$13, 100%, $E$13)</f>
        <v>14.789300000000001</v>
      </c>
      <c r="E881" s="67">
        <f>16.7771 * CHOOSE(CONTROL!$C$23, $C$13, 100%, $E$13)</f>
        <v>16.777100000000001</v>
      </c>
      <c r="F881" s="67">
        <f>16.7771 * CHOOSE(CONTROL!$C$23, $C$13, 100%, $E$13)</f>
        <v>16.777100000000001</v>
      </c>
      <c r="G881" s="67">
        <f>16.7819 * CHOOSE(CONTROL!$C$23, $C$13, 100%, $E$13)</f>
        <v>16.7819</v>
      </c>
      <c r="H881" s="67">
        <f>31.1454* CHOOSE(CONTROL!$C$23, $C$13, 100%, $E$13)</f>
        <v>31.145399999999999</v>
      </c>
      <c r="I881" s="67">
        <f>31.1501 * CHOOSE(CONTROL!$C$23, $C$13, 100%, $E$13)</f>
        <v>31.150099999999998</v>
      </c>
      <c r="J881" s="67">
        <f>16.7771 * CHOOSE(CONTROL!$C$23, $C$13, 100%, $E$13)</f>
        <v>16.777100000000001</v>
      </c>
      <c r="K881" s="67">
        <f>16.7819 * CHOOSE(CONTROL!$C$23, $C$13, 100%, $E$13)</f>
        <v>16.7819</v>
      </c>
    </row>
    <row r="882" spans="1:11" ht="15">
      <c r="A882" s="13">
        <v>67969</v>
      </c>
      <c r="B882" s="66">
        <f>14.7824 * CHOOSE(CONTROL!$C$23, $C$13, 100%, $E$13)</f>
        <v>14.782400000000001</v>
      </c>
      <c r="C882" s="66">
        <f>14.7824 * CHOOSE(CONTROL!$C$23, $C$13, 100%, $E$13)</f>
        <v>14.782400000000001</v>
      </c>
      <c r="D882" s="66">
        <f>14.7863 * CHOOSE(CONTROL!$C$23, $C$13, 100%, $E$13)</f>
        <v>14.786300000000001</v>
      </c>
      <c r="E882" s="67">
        <f>16.4756 * CHOOSE(CONTROL!$C$23, $C$13, 100%, $E$13)</f>
        <v>16.4756</v>
      </c>
      <c r="F882" s="67">
        <f>16.4756 * CHOOSE(CONTROL!$C$23, $C$13, 100%, $E$13)</f>
        <v>16.4756</v>
      </c>
      <c r="G882" s="67">
        <f>16.4804 * CHOOSE(CONTROL!$C$23, $C$13, 100%, $E$13)</f>
        <v>16.480399999999999</v>
      </c>
      <c r="H882" s="67">
        <f>31.2103* CHOOSE(CONTROL!$C$23, $C$13, 100%, $E$13)</f>
        <v>31.2103</v>
      </c>
      <c r="I882" s="67">
        <f>31.215 * CHOOSE(CONTROL!$C$23, $C$13, 100%, $E$13)</f>
        <v>31.215</v>
      </c>
      <c r="J882" s="67">
        <f>16.4756 * CHOOSE(CONTROL!$C$23, $C$13, 100%, $E$13)</f>
        <v>16.4756</v>
      </c>
      <c r="K882" s="67">
        <f>16.4804 * CHOOSE(CONTROL!$C$23, $C$13, 100%, $E$13)</f>
        <v>16.480399999999999</v>
      </c>
    </row>
    <row r="883" spans="1:11" ht="15">
      <c r="A883" s="13">
        <v>67997</v>
      </c>
      <c r="B883" s="66">
        <f>14.7794 * CHOOSE(CONTROL!$C$23, $C$13, 100%, $E$13)</f>
        <v>14.779400000000001</v>
      </c>
      <c r="C883" s="66">
        <f>14.7794 * CHOOSE(CONTROL!$C$23, $C$13, 100%, $E$13)</f>
        <v>14.779400000000001</v>
      </c>
      <c r="D883" s="66">
        <f>14.7832 * CHOOSE(CONTROL!$C$23, $C$13, 100%, $E$13)</f>
        <v>14.783200000000001</v>
      </c>
      <c r="E883" s="67">
        <f>16.7095 * CHOOSE(CONTROL!$C$23, $C$13, 100%, $E$13)</f>
        <v>16.709499999999998</v>
      </c>
      <c r="F883" s="67">
        <f>16.7095 * CHOOSE(CONTROL!$C$23, $C$13, 100%, $E$13)</f>
        <v>16.709499999999998</v>
      </c>
      <c r="G883" s="67">
        <f>16.7143 * CHOOSE(CONTROL!$C$23, $C$13, 100%, $E$13)</f>
        <v>16.714300000000001</v>
      </c>
      <c r="H883" s="67">
        <f>31.2753* CHOOSE(CONTROL!$C$23, $C$13, 100%, $E$13)</f>
        <v>31.275300000000001</v>
      </c>
      <c r="I883" s="67">
        <f>31.2801 * CHOOSE(CONTROL!$C$23, $C$13, 100%, $E$13)</f>
        <v>31.280100000000001</v>
      </c>
      <c r="J883" s="67">
        <f>16.7095 * CHOOSE(CONTROL!$C$23, $C$13, 100%, $E$13)</f>
        <v>16.709499999999998</v>
      </c>
      <c r="K883" s="67">
        <f>16.7143 * CHOOSE(CONTROL!$C$23, $C$13, 100%, $E$13)</f>
        <v>16.714300000000001</v>
      </c>
    </row>
    <row r="884" spans="1:11" ht="15">
      <c r="A884" s="13">
        <v>68028</v>
      </c>
      <c r="B884" s="66">
        <f>14.786 * CHOOSE(CONTROL!$C$23, $C$13, 100%, $E$13)</f>
        <v>14.786</v>
      </c>
      <c r="C884" s="66">
        <f>14.786 * CHOOSE(CONTROL!$C$23, $C$13, 100%, $E$13)</f>
        <v>14.786</v>
      </c>
      <c r="D884" s="66">
        <f>14.7899 * CHOOSE(CONTROL!$C$23, $C$13, 100%, $E$13)</f>
        <v>14.789899999999999</v>
      </c>
      <c r="E884" s="67">
        <f>16.9588 * CHOOSE(CONTROL!$C$23, $C$13, 100%, $E$13)</f>
        <v>16.9588</v>
      </c>
      <c r="F884" s="67">
        <f>16.9588 * CHOOSE(CONTROL!$C$23, $C$13, 100%, $E$13)</f>
        <v>16.9588</v>
      </c>
      <c r="G884" s="67">
        <f>16.9636 * CHOOSE(CONTROL!$C$23, $C$13, 100%, $E$13)</f>
        <v>16.9636</v>
      </c>
      <c r="H884" s="67">
        <f>31.3404* CHOOSE(CONTROL!$C$23, $C$13, 100%, $E$13)</f>
        <v>31.340399999999999</v>
      </c>
      <c r="I884" s="67">
        <f>31.3452 * CHOOSE(CONTROL!$C$23, $C$13, 100%, $E$13)</f>
        <v>31.345199999999998</v>
      </c>
      <c r="J884" s="67">
        <f>16.9588 * CHOOSE(CONTROL!$C$23, $C$13, 100%, $E$13)</f>
        <v>16.9588</v>
      </c>
      <c r="K884" s="67">
        <f>16.9636 * CHOOSE(CONTROL!$C$23, $C$13, 100%, $E$13)</f>
        <v>16.9636</v>
      </c>
    </row>
    <row r="885" spans="1:11" ht="15">
      <c r="A885" s="13">
        <v>68058</v>
      </c>
      <c r="B885" s="66">
        <f>14.786 * CHOOSE(CONTROL!$C$23, $C$13, 100%, $E$13)</f>
        <v>14.786</v>
      </c>
      <c r="C885" s="66">
        <f>14.786 * CHOOSE(CONTROL!$C$23, $C$13, 100%, $E$13)</f>
        <v>14.786</v>
      </c>
      <c r="D885" s="66">
        <f>14.7915 * CHOOSE(CONTROL!$C$23, $C$13, 100%, $E$13)</f>
        <v>14.791499999999999</v>
      </c>
      <c r="E885" s="67">
        <f>17.0538 * CHOOSE(CONTROL!$C$23, $C$13, 100%, $E$13)</f>
        <v>17.053799999999999</v>
      </c>
      <c r="F885" s="67">
        <f>17.0538 * CHOOSE(CONTROL!$C$23, $C$13, 100%, $E$13)</f>
        <v>17.053799999999999</v>
      </c>
      <c r="G885" s="67">
        <f>17.0606 * CHOOSE(CONTROL!$C$23, $C$13, 100%, $E$13)</f>
        <v>17.060600000000001</v>
      </c>
      <c r="H885" s="67">
        <f>31.4057* CHOOSE(CONTROL!$C$23, $C$13, 100%, $E$13)</f>
        <v>31.4057</v>
      </c>
      <c r="I885" s="67">
        <f>31.4125 * CHOOSE(CONTROL!$C$23, $C$13, 100%, $E$13)</f>
        <v>31.412500000000001</v>
      </c>
      <c r="J885" s="67">
        <f>17.0538 * CHOOSE(CONTROL!$C$23, $C$13, 100%, $E$13)</f>
        <v>17.053799999999999</v>
      </c>
      <c r="K885" s="67">
        <f>17.0606 * CHOOSE(CONTROL!$C$23, $C$13, 100%, $E$13)</f>
        <v>17.060600000000001</v>
      </c>
    </row>
    <row r="886" spans="1:11" ht="15">
      <c r="A886" s="13">
        <v>68089</v>
      </c>
      <c r="B886" s="66">
        <f>14.7921 * CHOOSE(CONTROL!$C$23, $C$13, 100%, $E$13)</f>
        <v>14.7921</v>
      </c>
      <c r="C886" s="66">
        <f>14.7921 * CHOOSE(CONTROL!$C$23, $C$13, 100%, $E$13)</f>
        <v>14.7921</v>
      </c>
      <c r="D886" s="66">
        <f>14.7976 * CHOOSE(CONTROL!$C$23, $C$13, 100%, $E$13)</f>
        <v>14.797599999999999</v>
      </c>
      <c r="E886" s="67">
        <f>16.963 * CHOOSE(CONTROL!$C$23, $C$13, 100%, $E$13)</f>
        <v>16.963000000000001</v>
      </c>
      <c r="F886" s="67">
        <f>16.963 * CHOOSE(CONTROL!$C$23, $C$13, 100%, $E$13)</f>
        <v>16.963000000000001</v>
      </c>
      <c r="G886" s="67">
        <f>16.9698 * CHOOSE(CONTROL!$C$23, $C$13, 100%, $E$13)</f>
        <v>16.969799999999999</v>
      </c>
      <c r="H886" s="67">
        <f>31.4712* CHOOSE(CONTROL!$C$23, $C$13, 100%, $E$13)</f>
        <v>31.4712</v>
      </c>
      <c r="I886" s="67">
        <f>31.4779 * CHOOSE(CONTROL!$C$23, $C$13, 100%, $E$13)</f>
        <v>31.477900000000002</v>
      </c>
      <c r="J886" s="67">
        <f>16.963 * CHOOSE(CONTROL!$C$23, $C$13, 100%, $E$13)</f>
        <v>16.963000000000001</v>
      </c>
      <c r="K886" s="67">
        <f>16.9698 * CHOOSE(CONTROL!$C$23, $C$13, 100%, $E$13)</f>
        <v>16.969799999999999</v>
      </c>
    </row>
    <row r="887" spans="1:11" ht="15">
      <c r="A887" s="13">
        <v>68119</v>
      </c>
      <c r="B887" s="66">
        <f>15.016 * CHOOSE(CONTROL!$C$23, $C$13, 100%, $E$13)</f>
        <v>15.016</v>
      </c>
      <c r="C887" s="66">
        <f>15.016 * CHOOSE(CONTROL!$C$23, $C$13, 100%, $E$13)</f>
        <v>15.016</v>
      </c>
      <c r="D887" s="66">
        <f>15.0215 * CHOOSE(CONTROL!$C$23, $C$13, 100%, $E$13)</f>
        <v>15.0215</v>
      </c>
      <c r="E887" s="67">
        <f>17.2322 * CHOOSE(CONTROL!$C$23, $C$13, 100%, $E$13)</f>
        <v>17.232199999999999</v>
      </c>
      <c r="F887" s="67">
        <f>17.2322 * CHOOSE(CONTROL!$C$23, $C$13, 100%, $E$13)</f>
        <v>17.232199999999999</v>
      </c>
      <c r="G887" s="67">
        <f>17.2389 * CHOOSE(CONTROL!$C$23, $C$13, 100%, $E$13)</f>
        <v>17.238900000000001</v>
      </c>
      <c r="H887" s="67">
        <f>31.5367* CHOOSE(CONTROL!$C$23, $C$13, 100%, $E$13)</f>
        <v>31.5367</v>
      </c>
      <c r="I887" s="67">
        <f>31.5435 * CHOOSE(CONTROL!$C$23, $C$13, 100%, $E$13)</f>
        <v>31.543500000000002</v>
      </c>
      <c r="J887" s="67">
        <f>17.2322 * CHOOSE(CONTROL!$C$23, $C$13, 100%, $E$13)</f>
        <v>17.232199999999999</v>
      </c>
      <c r="K887" s="67">
        <f>17.2389 * CHOOSE(CONTROL!$C$23, $C$13, 100%, $E$13)</f>
        <v>17.238900000000001</v>
      </c>
    </row>
    <row r="888" spans="1:11" ht="15">
      <c r="A888" s="13">
        <v>68150</v>
      </c>
      <c r="B888" s="66">
        <f>15.0226 * CHOOSE(CONTROL!$C$23, $C$13, 100%, $E$13)</f>
        <v>15.022600000000001</v>
      </c>
      <c r="C888" s="66">
        <f>15.0226 * CHOOSE(CONTROL!$C$23, $C$13, 100%, $E$13)</f>
        <v>15.022600000000001</v>
      </c>
      <c r="D888" s="66">
        <f>15.0282 * CHOOSE(CONTROL!$C$23, $C$13, 100%, $E$13)</f>
        <v>15.0282</v>
      </c>
      <c r="E888" s="67">
        <f>16.9517 * CHOOSE(CONTROL!$C$23, $C$13, 100%, $E$13)</f>
        <v>16.951699999999999</v>
      </c>
      <c r="F888" s="67">
        <f>16.9517 * CHOOSE(CONTROL!$C$23, $C$13, 100%, $E$13)</f>
        <v>16.951699999999999</v>
      </c>
      <c r="G888" s="67">
        <f>16.9584 * CHOOSE(CONTROL!$C$23, $C$13, 100%, $E$13)</f>
        <v>16.958400000000001</v>
      </c>
      <c r="H888" s="67">
        <f>31.6024* CHOOSE(CONTROL!$C$23, $C$13, 100%, $E$13)</f>
        <v>31.602399999999999</v>
      </c>
      <c r="I888" s="67">
        <f>31.6092 * CHOOSE(CONTROL!$C$23, $C$13, 100%, $E$13)</f>
        <v>31.609200000000001</v>
      </c>
      <c r="J888" s="67">
        <f>16.9517 * CHOOSE(CONTROL!$C$23, $C$13, 100%, $E$13)</f>
        <v>16.951699999999999</v>
      </c>
      <c r="K888" s="67">
        <f>16.9584 * CHOOSE(CONTROL!$C$23, $C$13, 100%, $E$13)</f>
        <v>16.958400000000001</v>
      </c>
    </row>
    <row r="889" spans="1:11" ht="15">
      <c r="A889" s="13">
        <v>68181</v>
      </c>
      <c r="B889" s="66">
        <f>15.0196 * CHOOSE(CONTROL!$C$23, $C$13, 100%, $E$13)</f>
        <v>15.019600000000001</v>
      </c>
      <c r="C889" s="66">
        <f>15.0196 * CHOOSE(CONTROL!$C$23, $C$13, 100%, $E$13)</f>
        <v>15.019600000000001</v>
      </c>
      <c r="D889" s="66">
        <f>15.0251 * CHOOSE(CONTROL!$C$23, $C$13, 100%, $E$13)</f>
        <v>15.0251</v>
      </c>
      <c r="E889" s="67">
        <f>16.9179 * CHOOSE(CONTROL!$C$23, $C$13, 100%, $E$13)</f>
        <v>16.917899999999999</v>
      </c>
      <c r="F889" s="67">
        <f>16.9179 * CHOOSE(CONTROL!$C$23, $C$13, 100%, $E$13)</f>
        <v>16.917899999999999</v>
      </c>
      <c r="G889" s="67">
        <f>16.9246 * CHOOSE(CONTROL!$C$23, $C$13, 100%, $E$13)</f>
        <v>16.924600000000002</v>
      </c>
      <c r="H889" s="67">
        <f>31.6683* CHOOSE(CONTROL!$C$23, $C$13, 100%, $E$13)</f>
        <v>31.668299999999999</v>
      </c>
      <c r="I889" s="67">
        <f>31.675 * CHOOSE(CONTROL!$C$23, $C$13, 100%, $E$13)</f>
        <v>31.675000000000001</v>
      </c>
      <c r="J889" s="67">
        <f>16.9179 * CHOOSE(CONTROL!$C$23, $C$13, 100%, $E$13)</f>
        <v>16.917899999999999</v>
      </c>
      <c r="K889" s="67">
        <f>16.9246 * CHOOSE(CONTROL!$C$23, $C$13, 100%, $E$13)</f>
        <v>16.924600000000002</v>
      </c>
    </row>
    <row r="890" spans="1:11" ht="15">
      <c r="A890" s="13">
        <v>68211</v>
      </c>
      <c r="B890" s="66">
        <f>15.0501 * CHOOSE(CONTROL!$C$23, $C$13, 100%, $E$13)</f>
        <v>15.0501</v>
      </c>
      <c r="C890" s="66">
        <f>15.0501 * CHOOSE(CONTROL!$C$23, $C$13, 100%, $E$13)</f>
        <v>15.0501</v>
      </c>
      <c r="D890" s="66">
        <f>15.054 * CHOOSE(CONTROL!$C$23, $C$13, 100%, $E$13)</f>
        <v>15.054</v>
      </c>
      <c r="E890" s="67">
        <f>17.0312 * CHOOSE(CONTROL!$C$23, $C$13, 100%, $E$13)</f>
        <v>17.031199999999998</v>
      </c>
      <c r="F890" s="67">
        <f>17.0312 * CHOOSE(CONTROL!$C$23, $C$13, 100%, $E$13)</f>
        <v>17.031199999999998</v>
      </c>
      <c r="G890" s="67">
        <f>17.036 * CHOOSE(CONTROL!$C$23, $C$13, 100%, $E$13)</f>
        <v>17.036000000000001</v>
      </c>
      <c r="H890" s="67">
        <f>31.7342* CHOOSE(CONTROL!$C$23, $C$13, 100%, $E$13)</f>
        <v>31.734200000000001</v>
      </c>
      <c r="I890" s="67">
        <f>31.739 * CHOOSE(CONTROL!$C$23, $C$13, 100%, $E$13)</f>
        <v>31.739000000000001</v>
      </c>
      <c r="J890" s="67">
        <f>17.0312 * CHOOSE(CONTROL!$C$23, $C$13, 100%, $E$13)</f>
        <v>17.031199999999998</v>
      </c>
      <c r="K890" s="67">
        <f>17.036 * CHOOSE(CONTROL!$C$23, $C$13, 100%, $E$13)</f>
        <v>17.036000000000001</v>
      </c>
    </row>
    <row r="891" spans="1:11" ht="15">
      <c r="A891" s="13">
        <v>68242</v>
      </c>
      <c r="B891" s="66">
        <f>15.0532 * CHOOSE(CONTROL!$C$23, $C$13, 100%, $E$13)</f>
        <v>15.0532</v>
      </c>
      <c r="C891" s="66">
        <f>15.0532 * CHOOSE(CONTROL!$C$23, $C$13, 100%, $E$13)</f>
        <v>15.0532</v>
      </c>
      <c r="D891" s="66">
        <f>15.057 * CHOOSE(CONTROL!$C$23, $C$13, 100%, $E$13)</f>
        <v>15.057</v>
      </c>
      <c r="E891" s="67">
        <f>17.0967 * CHOOSE(CONTROL!$C$23, $C$13, 100%, $E$13)</f>
        <v>17.096699999999998</v>
      </c>
      <c r="F891" s="67">
        <f>17.0967 * CHOOSE(CONTROL!$C$23, $C$13, 100%, $E$13)</f>
        <v>17.096699999999998</v>
      </c>
      <c r="G891" s="67">
        <f>17.1015 * CHOOSE(CONTROL!$C$23, $C$13, 100%, $E$13)</f>
        <v>17.101500000000001</v>
      </c>
      <c r="H891" s="67">
        <f>31.8004* CHOOSE(CONTROL!$C$23, $C$13, 100%, $E$13)</f>
        <v>31.8004</v>
      </c>
      <c r="I891" s="67">
        <f>31.8051 * CHOOSE(CONTROL!$C$23, $C$13, 100%, $E$13)</f>
        <v>31.805099999999999</v>
      </c>
      <c r="J891" s="67">
        <f>17.0967 * CHOOSE(CONTROL!$C$23, $C$13, 100%, $E$13)</f>
        <v>17.096699999999998</v>
      </c>
      <c r="K891" s="67">
        <f>17.1015 * CHOOSE(CONTROL!$C$23, $C$13, 100%, $E$13)</f>
        <v>17.101500000000001</v>
      </c>
    </row>
    <row r="892" spans="1:11" ht="15">
      <c r="A892" s="13">
        <v>68272</v>
      </c>
      <c r="B892" s="66">
        <f>15.0532 * CHOOSE(CONTROL!$C$23, $C$13, 100%, $E$13)</f>
        <v>15.0532</v>
      </c>
      <c r="C892" s="66">
        <f>15.0532 * CHOOSE(CONTROL!$C$23, $C$13, 100%, $E$13)</f>
        <v>15.0532</v>
      </c>
      <c r="D892" s="66">
        <f>15.057 * CHOOSE(CONTROL!$C$23, $C$13, 100%, $E$13)</f>
        <v>15.057</v>
      </c>
      <c r="E892" s="67">
        <f>16.9383 * CHOOSE(CONTROL!$C$23, $C$13, 100%, $E$13)</f>
        <v>16.938300000000002</v>
      </c>
      <c r="F892" s="67">
        <f>16.9383 * CHOOSE(CONTROL!$C$23, $C$13, 100%, $E$13)</f>
        <v>16.938300000000002</v>
      </c>
      <c r="G892" s="67">
        <f>16.943 * CHOOSE(CONTROL!$C$23, $C$13, 100%, $E$13)</f>
        <v>16.943000000000001</v>
      </c>
      <c r="H892" s="67">
        <f>31.8666* CHOOSE(CONTROL!$C$23, $C$13, 100%, $E$13)</f>
        <v>31.866599999999998</v>
      </c>
      <c r="I892" s="67">
        <f>31.8714 * CHOOSE(CONTROL!$C$23, $C$13, 100%, $E$13)</f>
        <v>31.871400000000001</v>
      </c>
      <c r="J892" s="67">
        <f>16.9383 * CHOOSE(CONTROL!$C$23, $C$13, 100%, $E$13)</f>
        <v>16.938300000000002</v>
      </c>
      <c r="K892" s="67">
        <f>16.943 * CHOOSE(CONTROL!$C$23, $C$13, 100%, $E$13)</f>
        <v>16.943000000000001</v>
      </c>
    </row>
    <row r="893" spans="1:11" ht="15">
      <c r="A893" s="13">
        <v>68303</v>
      </c>
      <c r="B893" s="66">
        <f>15.021 * CHOOSE(CONTROL!$C$23, $C$13, 100%, $E$13)</f>
        <v>15.021000000000001</v>
      </c>
      <c r="C893" s="66">
        <f>15.021 * CHOOSE(CONTROL!$C$23, $C$13, 100%, $E$13)</f>
        <v>15.021000000000001</v>
      </c>
      <c r="D893" s="66">
        <f>15.0249 * CHOOSE(CONTROL!$C$23, $C$13, 100%, $E$13)</f>
        <v>15.024900000000001</v>
      </c>
      <c r="E893" s="67">
        <f>17.0319 * CHOOSE(CONTROL!$C$23, $C$13, 100%, $E$13)</f>
        <v>17.0319</v>
      </c>
      <c r="F893" s="67">
        <f>17.0319 * CHOOSE(CONTROL!$C$23, $C$13, 100%, $E$13)</f>
        <v>17.0319</v>
      </c>
      <c r="G893" s="67">
        <f>17.0366 * CHOOSE(CONTROL!$C$23, $C$13, 100%, $E$13)</f>
        <v>17.0366</v>
      </c>
      <c r="H893" s="67">
        <f>31.6279* CHOOSE(CONTROL!$C$23, $C$13, 100%, $E$13)</f>
        <v>31.6279</v>
      </c>
      <c r="I893" s="67">
        <f>31.6327 * CHOOSE(CONTROL!$C$23, $C$13, 100%, $E$13)</f>
        <v>31.6327</v>
      </c>
      <c r="J893" s="67">
        <f>17.0319 * CHOOSE(CONTROL!$C$23, $C$13, 100%, $E$13)</f>
        <v>17.0319</v>
      </c>
      <c r="K893" s="67">
        <f>17.0366 * CHOOSE(CONTROL!$C$23, $C$13, 100%, $E$13)</f>
        <v>17.0366</v>
      </c>
    </row>
    <row r="894" spans="1:11" ht="15">
      <c r="A894" s="13">
        <v>68334</v>
      </c>
      <c r="B894" s="66">
        <f>15.018 * CHOOSE(CONTROL!$C$23, $C$13, 100%, $E$13)</f>
        <v>15.018000000000001</v>
      </c>
      <c r="C894" s="66">
        <f>15.018 * CHOOSE(CONTROL!$C$23, $C$13, 100%, $E$13)</f>
        <v>15.018000000000001</v>
      </c>
      <c r="D894" s="66">
        <f>15.0218 * CHOOSE(CONTROL!$C$23, $C$13, 100%, $E$13)</f>
        <v>15.021800000000001</v>
      </c>
      <c r="E894" s="67">
        <f>16.7254 * CHOOSE(CONTROL!$C$23, $C$13, 100%, $E$13)</f>
        <v>16.7254</v>
      </c>
      <c r="F894" s="67">
        <f>16.7254 * CHOOSE(CONTROL!$C$23, $C$13, 100%, $E$13)</f>
        <v>16.7254</v>
      </c>
      <c r="G894" s="67">
        <f>16.7302 * CHOOSE(CONTROL!$C$23, $C$13, 100%, $E$13)</f>
        <v>16.7302</v>
      </c>
      <c r="H894" s="67">
        <f>31.6938* CHOOSE(CONTROL!$C$23, $C$13, 100%, $E$13)</f>
        <v>31.6938</v>
      </c>
      <c r="I894" s="67">
        <f>31.6986 * CHOOSE(CONTROL!$C$23, $C$13, 100%, $E$13)</f>
        <v>31.698599999999999</v>
      </c>
      <c r="J894" s="67">
        <f>16.7254 * CHOOSE(CONTROL!$C$23, $C$13, 100%, $E$13)</f>
        <v>16.7254</v>
      </c>
      <c r="K894" s="67">
        <f>16.7302 * CHOOSE(CONTROL!$C$23, $C$13, 100%, $E$13)</f>
        <v>16.7302</v>
      </c>
    </row>
    <row r="895" spans="1:11" ht="15">
      <c r="A895" s="13">
        <v>68362</v>
      </c>
      <c r="B895" s="66">
        <f>15.0149 * CHOOSE(CONTROL!$C$23, $C$13, 100%, $E$13)</f>
        <v>15.014900000000001</v>
      </c>
      <c r="C895" s="66">
        <f>15.0149 * CHOOSE(CONTROL!$C$23, $C$13, 100%, $E$13)</f>
        <v>15.014900000000001</v>
      </c>
      <c r="D895" s="66">
        <f>15.0188 * CHOOSE(CONTROL!$C$23, $C$13, 100%, $E$13)</f>
        <v>15.018800000000001</v>
      </c>
      <c r="E895" s="67">
        <f>16.9632 * CHOOSE(CONTROL!$C$23, $C$13, 100%, $E$13)</f>
        <v>16.963200000000001</v>
      </c>
      <c r="F895" s="67">
        <f>16.9632 * CHOOSE(CONTROL!$C$23, $C$13, 100%, $E$13)</f>
        <v>16.963200000000001</v>
      </c>
      <c r="G895" s="67">
        <f>16.968 * CHOOSE(CONTROL!$C$23, $C$13, 100%, $E$13)</f>
        <v>16.968</v>
      </c>
      <c r="H895" s="67">
        <f>31.7598* CHOOSE(CONTROL!$C$23, $C$13, 100%, $E$13)</f>
        <v>31.759799999999998</v>
      </c>
      <c r="I895" s="67">
        <f>31.7646 * CHOOSE(CONTROL!$C$23, $C$13, 100%, $E$13)</f>
        <v>31.764600000000002</v>
      </c>
      <c r="J895" s="67">
        <f>16.9632 * CHOOSE(CONTROL!$C$23, $C$13, 100%, $E$13)</f>
        <v>16.963200000000001</v>
      </c>
      <c r="K895" s="67">
        <f>16.968 * CHOOSE(CONTROL!$C$23, $C$13, 100%, $E$13)</f>
        <v>16.968</v>
      </c>
    </row>
    <row r="896" spans="1:11" ht="15">
      <c r="A896" s="13">
        <v>68393</v>
      </c>
      <c r="B896" s="66">
        <f>15.0218 * CHOOSE(CONTROL!$C$23, $C$13, 100%, $E$13)</f>
        <v>15.021800000000001</v>
      </c>
      <c r="C896" s="66">
        <f>15.0218 * CHOOSE(CONTROL!$C$23, $C$13, 100%, $E$13)</f>
        <v>15.021800000000001</v>
      </c>
      <c r="D896" s="66">
        <f>15.0257 * CHOOSE(CONTROL!$C$23, $C$13, 100%, $E$13)</f>
        <v>15.025700000000001</v>
      </c>
      <c r="E896" s="67">
        <f>17.2166 * CHOOSE(CONTROL!$C$23, $C$13, 100%, $E$13)</f>
        <v>17.2166</v>
      </c>
      <c r="F896" s="67">
        <f>17.2166 * CHOOSE(CONTROL!$C$23, $C$13, 100%, $E$13)</f>
        <v>17.2166</v>
      </c>
      <c r="G896" s="67">
        <f>17.2214 * CHOOSE(CONTROL!$C$23, $C$13, 100%, $E$13)</f>
        <v>17.221399999999999</v>
      </c>
      <c r="H896" s="67">
        <f>31.826* CHOOSE(CONTROL!$C$23, $C$13, 100%, $E$13)</f>
        <v>31.826000000000001</v>
      </c>
      <c r="I896" s="67">
        <f>31.8308 * CHOOSE(CONTROL!$C$23, $C$13, 100%, $E$13)</f>
        <v>31.8308</v>
      </c>
      <c r="J896" s="67">
        <f>17.2166 * CHOOSE(CONTROL!$C$23, $C$13, 100%, $E$13)</f>
        <v>17.2166</v>
      </c>
      <c r="K896" s="67">
        <f>17.2214 * CHOOSE(CONTROL!$C$23, $C$13, 100%, $E$13)</f>
        <v>17.221399999999999</v>
      </c>
    </row>
    <row r="897" spans="1:11" ht="15">
      <c r="A897" s="13">
        <v>68423</v>
      </c>
      <c r="B897" s="66">
        <f>15.0218 * CHOOSE(CONTROL!$C$23, $C$13, 100%, $E$13)</f>
        <v>15.021800000000001</v>
      </c>
      <c r="C897" s="66">
        <f>15.0218 * CHOOSE(CONTROL!$C$23, $C$13, 100%, $E$13)</f>
        <v>15.021800000000001</v>
      </c>
      <c r="D897" s="66">
        <f>15.0273 * CHOOSE(CONTROL!$C$23, $C$13, 100%, $E$13)</f>
        <v>15.0273</v>
      </c>
      <c r="E897" s="67">
        <f>17.3133 * CHOOSE(CONTROL!$C$23, $C$13, 100%, $E$13)</f>
        <v>17.313300000000002</v>
      </c>
      <c r="F897" s="67">
        <f>17.3133 * CHOOSE(CONTROL!$C$23, $C$13, 100%, $E$13)</f>
        <v>17.313300000000002</v>
      </c>
      <c r="G897" s="67">
        <f>17.32 * CHOOSE(CONTROL!$C$23, $C$13, 100%, $E$13)</f>
        <v>17.32</v>
      </c>
      <c r="H897" s="67">
        <f>31.8923* CHOOSE(CONTROL!$C$23, $C$13, 100%, $E$13)</f>
        <v>31.892299999999999</v>
      </c>
      <c r="I897" s="67">
        <f>31.8991 * CHOOSE(CONTROL!$C$23, $C$13, 100%, $E$13)</f>
        <v>31.899100000000001</v>
      </c>
      <c r="J897" s="67">
        <f>17.3133 * CHOOSE(CONTROL!$C$23, $C$13, 100%, $E$13)</f>
        <v>17.313300000000002</v>
      </c>
      <c r="K897" s="67">
        <f>17.32 * CHOOSE(CONTROL!$C$23, $C$13, 100%, $E$13)</f>
        <v>17.32</v>
      </c>
    </row>
    <row r="898" spans="1:11" ht="15">
      <c r="A898" s="13">
        <v>68454</v>
      </c>
      <c r="B898" s="66">
        <f>15.0279 * CHOOSE(CONTROL!$C$23, $C$13, 100%, $E$13)</f>
        <v>15.027900000000001</v>
      </c>
      <c r="C898" s="66">
        <f>15.0279 * CHOOSE(CONTROL!$C$23, $C$13, 100%, $E$13)</f>
        <v>15.027900000000001</v>
      </c>
      <c r="D898" s="66">
        <f>15.0334 * CHOOSE(CONTROL!$C$23, $C$13, 100%, $E$13)</f>
        <v>15.0334</v>
      </c>
      <c r="E898" s="67">
        <f>17.2209 * CHOOSE(CONTROL!$C$23, $C$13, 100%, $E$13)</f>
        <v>17.2209</v>
      </c>
      <c r="F898" s="67">
        <f>17.2209 * CHOOSE(CONTROL!$C$23, $C$13, 100%, $E$13)</f>
        <v>17.2209</v>
      </c>
      <c r="G898" s="67">
        <f>17.2276 * CHOOSE(CONTROL!$C$23, $C$13, 100%, $E$13)</f>
        <v>17.227599999999999</v>
      </c>
      <c r="H898" s="67">
        <f>31.9588* CHOOSE(CONTROL!$C$23, $C$13, 100%, $E$13)</f>
        <v>31.9588</v>
      </c>
      <c r="I898" s="67">
        <f>31.9655 * CHOOSE(CONTROL!$C$23, $C$13, 100%, $E$13)</f>
        <v>31.965499999999999</v>
      </c>
      <c r="J898" s="67">
        <f>17.2209 * CHOOSE(CONTROL!$C$23, $C$13, 100%, $E$13)</f>
        <v>17.2209</v>
      </c>
      <c r="K898" s="67">
        <f>17.2276 * CHOOSE(CONTROL!$C$23, $C$13, 100%, $E$13)</f>
        <v>17.227599999999999</v>
      </c>
    </row>
    <row r="899" spans="1:11" ht="15">
      <c r="A899" s="13">
        <v>68484</v>
      </c>
      <c r="B899" s="66">
        <f>15.2551 * CHOOSE(CONTROL!$C$23, $C$13, 100%, $E$13)</f>
        <v>15.255100000000001</v>
      </c>
      <c r="C899" s="66">
        <f>15.2551 * CHOOSE(CONTROL!$C$23, $C$13, 100%, $E$13)</f>
        <v>15.255100000000001</v>
      </c>
      <c r="D899" s="66">
        <f>15.2606 * CHOOSE(CONTROL!$C$23, $C$13, 100%, $E$13)</f>
        <v>15.2606</v>
      </c>
      <c r="E899" s="67">
        <f>17.494 * CHOOSE(CONTROL!$C$23, $C$13, 100%, $E$13)</f>
        <v>17.494</v>
      </c>
      <c r="F899" s="67">
        <f>17.494 * CHOOSE(CONTROL!$C$23, $C$13, 100%, $E$13)</f>
        <v>17.494</v>
      </c>
      <c r="G899" s="67">
        <f>17.5007 * CHOOSE(CONTROL!$C$23, $C$13, 100%, $E$13)</f>
        <v>17.500699999999998</v>
      </c>
      <c r="H899" s="67">
        <f>32.0253* CHOOSE(CONTROL!$C$23, $C$13, 100%, $E$13)</f>
        <v>32.025300000000001</v>
      </c>
      <c r="I899" s="67">
        <f>32.0321 * CHOOSE(CONTROL!$C$23, $C$13, 100%, $E$13)</f>
        <v>32.0321</v>
      </c>
      <c r="J899" s="67">
        <f>17.494 * CHOOSE(CONTROL!$C$23, $C$13, 100%, $E$13)</f>
        <v>17.494</v>
      </c>
      <c r="K899" s="67">
        <f>17.5007 * CHOOSE(CONTROL!$C$23, $C$13, 100%, $E$13)</f>
        <v>17.500699999999998</v>
      </c>
    </row>
    <row r="900" spans="1:11" ht="15">
      <c r="A900" s="13">
        <v>68515</v>
      </c>
      <c r="B900" s="66">
        <f>15.2618 * CHOOSE(CONTROL!$C$23, $C$13, 100%, $E$13)</f>
        <v>15.261799999999999</v>
      </c>
      <c r="C900" s="66">
        <f>15.2618 * CHOOSE(CONTROL!$C$23, $C$13, 100%, $E$13)</f>
        <v>15.261799999999999</v>
      </c>
      <c r="D900" s="66">
        <f>15.2673 * CHOOSE(CONTROL!$C$23, $C$13, 100%, $E$13)</f>
        <v>15.267300000000001</v>
      </c>
      <c r="E900" s="67">
        <f>17.2088 * CHOOSE(CONTROL!$C$23, $C$13, 100%, $E$13)</f>
        <v>17.2088</v>
      </c>
      <c r="F900" s="67">
        <f>17.2088 * CHOOSE(CONTROL!$C$23, $C$13, 100%, $E$13)</f>
        <v>17.2088</v>
      </c>
      <c r="G900" s="67">
        <f>17.2155 * CHOOSE(CONTROL!$C$23, $C$13, 100%, $E$13)</f>
        <v>17.215499999999999</v>
      </c>
      <c r="H900" s="67">
        <f>32.0921* CHOOSE(CONTROL!$C$23, $C$13, 100%, $E$13)</f>
        <v>32.092100000000002</v>
      </c>
      <c r="I900" s="67">
        <f>32.0988 * CHOOSE(CONTROL!$C$23, $C$13, 100%, $E$13)</f>
        <v>32.098799999999997</v>
      </c>
      <c r="J900" s="67">
        <f>17.2088 * CHOOSE(CONTROL!$C$23, $C$13, 100%, $E$13)</f>
        <v>17.2088</v>
      </c>
      <c r="K900" s="67">
        <f>17.2155 * CHOOSE(CONTROL!$C$23, $C$13, 100%, $E$13)</f>
        <v>17.215499999999999</v>
      </c>
    </row>
    <row r="901" spans="1:11" ht="15">
      <c r="A901" s="13">
        <v>68546</v>
      </c>
      <c r="B901" s="66">
        <f>15.2588 * CHOOSE(CONTROL!$C$23, $C$13, 100%, $E$13)</f>
        <v>15.258800000000001</v>
      </c>
      <c r="C901" s="66">
        <f>15.2588 * CHOOSE(CONTROL!$C$23, $C$13, 100%, $E$13)</f>
        <v>15.258800000000001</v>
      </c>
      <c r="D901" s="66">
        <f>15.2643 * CHOOSE(CONTROL!$C$23, $C$13, 100%, $E$13)</f>
        <v>15.2643</v>
      </c>
      <c r="E901" s="67">
        <f>17.1744 * CHOOSE(CONTROL!$C$23, $C$13, 100%, $E$13)</f>
        <v>17.174399999999999</v>
      </c>
      <c r="F901" s="67">
        <f>17.1744 * CHOOSE(CONTROL!$C$23, $C$13, 100%, $E$13)</f>
        <v>17.174399999999999</v>
      </c>
      <c r="G901" s="67">
        <f>17.1812 * CHOOSE(CONTROL!$C$23, $C$13, 100%, $E$13)</f>
        <v>17.1812</v>
      </c>
      <c r="H901" s="67">
        <f>32.1589* CHOOSE(CONTROL!$C$23, $C$13, 100%, $E$13)</f>
        <v>32.158900000000003</v>
      </c>
      <c r="I901" s="67">
        <f>32.1657 * CHOOSE(CONTROL!$C$23, $C$13, 100%, $E$13)</f>
        <v>32.165700000000001</v>
      </c>
      <c r="J901" s="67">
        <f>17.1744 * CHOOSE(CONTROL!$C$23, $C$13, 100%, $E$13)</f>
        <v>17.174399999999999</v>
      </c>
      <c r="K901" s="67">
        <f>17.1812 * CHOOSE(CONTROL!$C$23, $C$13, 100%, $E$13)</f>
        <v>17.1812</v>
      </c>
    </row>
    <row r="902" spans="1:11" ht="15">
      <c r="A902" s="13">
        <v>68576</v>
      </c>
      <c r="B902" s="66">
        <f>15.2901 * CHOOSE(CONTROL!$C$23, $C$13, 100%, $E$13)</f>
        <v>15.290100000000001</v>
      </c>
      <c r="C902" s="66">
        <f>15.2901 * CHOOSE(CONTROL!$C$23, $C$13, 100%, $E$13)</f>
        <v>15.290100000000001</v>
      </c>
      <c r="D902" s="66">
        <f>15.2939 * CHOOSE(CONTROL!$C$23, $C$13, 100%, $E$13)</f>
        <v>15.293900000000001</v>
      </c>
      <c r="E902" s="67">
        <f>17.2899 * CHOOSE(CONTROL!$C$23, $C$13, 100%, $E$13)</f>
        <v>17.289899999999999</v>
      </c>
      <c r="F902" s="67">
        <f>17.2899 * CHOOSE(CONTROL!$C$23, $C$13, 100%, $E$13)</f>
        <v>17.289899999999999</v>
      </c>
      <c r="G902" s="67">
        <f>17.2946 * CHOOSE(CONTROL!$C$23, $C$13, 100%, $E$13)</f>
        <v>17.294599999999999</v>
      </c>
      <c r="H902" s="67">
        <f>32.2259* CHOOSE(CONTROL!$C$23, $C$13, 100%, $E$13)</f>
        <v>32.225900000000003</v>
      </c>
      <c r="I902" s="67">
        <f>32.2307 * CHOOSE(CONTROL!$C$23, $C$13, 100%, $E$13)</f>
        <v>32.230699999999999</v>
      </c>
      <c r="J902" s="67">
        <f>17.2899 * CHOOSE(CONTROL!$C$23, $C$13, 100%, $E$13)</f>
        <v>17.289899999999999</v>
      </c>
      <c r="K902" s="67">
        <f>17.2946 * CHOOSE(CONTROL!$C$23, $C$13, 100%, $E$13)</f>
        <v>17.294599999999999</v>
      </c>
    </row>
    <row r="903" spans="1:11" ht="15">
      <c r="A903" s="13">
        <v>68607</v>
      </c>
      <c r="B903" s="66">
        <f>15.2931 * CHOOSE(CONTROL!$C$23, $C$13, 100%, $E$13)</f>
        <v>15.293100000000001</v>
      </c>
      <c r="C903" s="66">
        <f>15.2931 * CHOOSE(CONTROL!$C$23, $C$13, 100%, $E$13)</f>
        <v>15.293100000000001</v>
      </c>
      <c r="D903" s="66">
        <f>15.297 * CHOOSE(CONTROL!$C$23, $C$13, 100%, $E$13)</f>
        <v>15.297000000000001</v>
      </c>
      <c r="E903" s="67">
        <f>17.3564 * CHOOSE(CONTROL!$C$23, $C$13, 100%, $E$13)</f>
        <v>17.356400000000001</v>
      </c>
      <c r="F903" s="67">
        <f>17.3564 * CHOOSE(CONTROL!$C$23, $C$13, 100%, $E$13)</f>
        <v>17.356400000000001</v>
      </c>
      <c r="G903" s="67">
        <f>17.3612 * CHOOSE(CONTROL!$C$23, $C$13, 100%, $E$13)</f>
        <v>17.3612</v>
      </c>
      <c r="H903" s="67">
        <f>32.2931* CHOOSE(CONTROL!$C$23, $C$13, 100%, $E$13)</f>
        <v>32.293100000000003</v>
      </c>
      <c r="I903" s="67">
        <f>32.2978 * CHOOSE(CONTROL!$C$23, $C$13, 100%, $E$13)</f>
        <v>32.297800000000002</v>
      </c>
      <c r="J903" s="67">
        <f>17.3564 * CHOOSE(CONTROL!$C$23, $C$13, 100%, $E$13)</f>
        <v>17.356400000000001</v>
      </c>
      <c r="K903" s="67">
        <f>17.3612 * CHOOSE(CONTROL!$C$23, $C$13, 100%, $E$13)</f>
        <v>17.3612</v>
      </c>
    </row>
    <row r="904" spans="1:11" ht="15">
      <c r="A904" s="13">
        <v>68637</v>
      </c>
      <c r="B904" s="66">
        <f>15.2931 * CHOOSE(CONTROL!$C$23, $C$13, 100%, $E$13)</f>
        <v>15.293100000000001</v>
      </c>
      <c r="C904" s="66">
        <f>15.2931 * CHOOSE(CONTROL!$C$23, $C$13, 100%, $E$13)</f>
        <v>15.293100000000001</v>
      </c>
      <c r="D904" s="66">
        <f>15.297 * CHOOSE(CONTROL!$C$23, $C$13, 100%, $E$13)</f>
        <v>15.297000000000001</v>
      </c>
      <c r="E904" s="67">
        <f>17.1953 * CHOOSE(CONTROL!$C$23, $C$13, 100%, $E$13)</f>
        <v>17.1953</v>
      </c>
      <c r="F904" s="67">
        <f>17.1953 * CHOOSE(CONTROL!$C$23, $C$13, 100%, $E$13)</f>
        <v>17.1953</v>
      </c>
      <c r="G904" s="67">
        <f>17.2001 * CHOOSE(CONTROL!$C$23, $C$13, 100%, $E$13)</f>
        <v>17.200099999999999</v>
      </c>
      <c r="H904" s="67">
        <f>32.3603* CHOOSE(CONTROL!$C$23, $C$13, 100%, $E$13)</f>
        <v>32.360300000000002</v>
      </c>
      <c r="I904" s="67">
        <f>32.3651 * CHOOSE(CONTROL!$C$23, $C$13, 100%, $E$13)</f>
        <v>32.365099999999998</v>
      </c>
      <c r="J904" s="67">
        <f>17.1953 * CHOOSE(CONTROL!$C$23, $C$13, 100%, $E$13)</f>
        <v>17.1953</v>
      </c>
      <c r="K904" s="67">
        <f>17.2001 * CHOOSE(CONTROL!$C$23, $C$13, 100%, $E$13)</f>
        <v>17.200099999999999</v>
      </c>
    </row>
    <row r="905" spans="1:11" ht="15">
      <c r="A905" s="13">
        <v>68668</v>
      </c>
      <c r="B905" s="66">
        <f>15.2566 * CHOOSE(CONTROL!$C$23, $C$13, 100%, $E$13)</f>
        <v>15.256600000000001</v>
      </c>
      <c r="C905" s="66">
        <f>15.2566 * CHOOSE(CONTROL!$C$23, $C$13, 100%, $E$13)</f>
        <v>15.256600000000001</v>
      </c>
      <c r="D905" s="66">
        <f>15.2605 * CHOOSE(CONTROL!$C$23, $C$13, 100%, $E$13)</f>
        <v>15.2605</v>
      </c>
      <c r="E905" s="67">
        <f>17.2866 * CHOOSE(CONTROL!$C$23, $C$13, 100%, $E$13)</f>
        <v>17.2866</v>
      </c>
      <c r="F905" s="67">
        <f>17.2866 * CHOOSE(CONTROL!$C$23, $C$13, 100%, $E$13)</f>
        <v>17.2866</v>
      </c>
      <c r="G905" s="67">
        <f>17.2914 * CHOOSE(CONTROL!$C$23, $C$13, 100%, $E$13)</f>
        <v>17.291399999999999</v>
      </c>
      <c r="H905" s="67">
        <f>32.1105* CHOOSE(CONTROL!$C$23, $C$13, 100%, $E$13)</f>
        <v>32.110500000000002</v>
      </c>
      <c r="I905" s="67">
        <f>32.1152 * CHOOSE(CONTROL!$C$23, $C$13, 100%, $E$13)</f>
        <v>32.115200000000002</v>
      </c>
      <c r="J905" s="67">
        <f>17.2866 * CHOOSE(CONTROL!$C$23, $C$13, 100%, $E$13)</f>
        <v>17.2866</v>
      </c>
      <c r="K905" s="67">
        <f>17.2914 * CHOOSE(CONTROL!$C$23, $C$13, 100%, $E$13)</f>
        <v>17.291399999999999</v>
      </c>
    </row>
    <row r="906" spans="1:11" ht="15">
      <c r="A906" s="13">
        <v>68699</v>
      </c>
      <c r="B906" s="66">
        <f>15.2536 * CHOOSE(CONTROL!$C$23, $C$13, 100%, $E$13)</f>
        <v>15.2536</v>
      </c>
      <c r="C906" s="66">
        <f>15.2536 * CHOOSE(CONTROL!$C$23, $C$13, 100%, $E$13)</f>
        <v>15.2536</v>
      </c>
      <c r="D906" s="66">
        <f>15.2574 * CHOOSE(CONTROL!$C$23, $C$13, 100%, $E$13)</f>
        <v>15.257400000000001</v>
      </c>
      <c r="E906" s="67">
        <f>16.9752 * CHOOSE(CONTROL!$C$23, $C$13, 100%, $E$13)</f>
        <v>16.975200000000001</v>
      </c>
      <c r="F906" s="67">
        <f>16.9752 * CHOOSE(CONTROL!$C$23, $C$13, 100%, $E$13)</f>
        <v>16.975200000000001</v>
      </c>
      <c r="G906" s="67">
        <f>16.9799 * CHOOSE(CONTROL!$C$23, $C$13, 100%, $E$13)</f>
        <v>16.979900000000001</v>
      </c>
      <c r="H906" s="67">
        <f>32.1774* CHOOSE(CONTROL!$C$23, $C$13, 100%, $E$13)</f>
        <v>32.177399999999999</v>
      </c>
      <c r="I906" s="67">
        <f>32.1821 * CHOOSE(CONTROL!$C$23, $C$13, 100%, $E$13)</f>
        <v>32.182099999999998</v>
      </c>
      <c r="J906" s="67">
        <f>16.9752 * CHOOSE(CONTROL!$C$23, $C$13, 100%, $E$13)</f>
        <v>16.975200000000001</v>
      </c>
      <c r="K906" s="67">
        <f>16.9799 * CHOOSE(CONTROL!$C$23, $C$13, 100%, $E$13)</f>
        <v>16.979900000000001</v>
      </c>
    </row>
    <row r="907" spans="1:11" ht="15">
      <c r="A907" s="13">
        <v>68728</v>
      </c>
      <c r="B907" s="66">
        <f>15.2505 * CHOOSE(CONTROL!$C$23, $C$13, 100%, $E$13)</f>
        <v>15.250500000000001</v>
      </c>
      <c r="C907" s="66">
        <f>15.2505 * CHOOSE(CONTROL!$C$23, $C$13, 100%, $E$13)</f>
        <v>15.250500000000001</v>
      </c>
      <c r="D907" s="66">
        <f>15.2544 * CHOOSE(CONTROL!$C$23, $C$13, 100%, $E$13)</f>
        <v>15.2544</v>
      </c>
      <c r="E907" s="67">
        <f>17.2169 * CHOOSE(CONTROL!$C$23, $C$13, 100%, $E$13)</f>
        <v>17.216899999999999</v>
      </c>
      <c r="F907" s="67">
        <f>17.2169 * CHOOSE(CONTROL!$C$23, $C$13, 100%, $E$13)</f>
        <v>17.216899999999999</v>
      </c>
      <c r="G907" s="67">
        <f>17.2217 * CHOOSE(CONTROL!$C$23, $C$13, 100%, $E$13)</f>
        <v>17.221699999999998</v>
      </c>
      <c r="H907" s="67">
        <f>32.2444* CHOOSE(CONTROL!$C$23, $C$13, 100%, $E$13)</f>
        <v>32.244399999999999</v>
      </c>
      <c r="I907" s="67">
        <f>32.2492 * CHOOSE(CONTROL!$C$23, $C$13, 100%, $E$13)</f>
        <v>32.249200000000002</v>
      </c>
      <c r="J907" s="67">
        <f>17.2169 * CHOOSE(CONTROL!$C$23, $C$13, 100%, $E$13)</f>
        <v>17.216899999999999</v>
      </c>
      <c r="K907" s="67">
        <f>17.2217 * CHOOSE(CONTROL!$C$23, $C$13, 100%, $E$13)</f>
        <v>17.221699999999998</v>
      </c>
    </row>
    <row r="908" spans="1:11" ht="15">
      <c r="A908" s="13">
        <v>68759</v>
      </c>
      <c r="B908" s="66">
        <f>15.2576 * CHOOSE(CONTROL!$C$23, $C$13, 100%, $E$13)</f>
        <v>15.2576</v>
      </c>
      <c r="C908" s="66">
        <f>15.2576 * CHOOSE(CONTROL!$C$23, $C$13, 100%, $E$13)</f>
        <v>15.2576</v>
      </c>
      <c r="D908" s="66">
        <f>15.2614 * CHOOSE(CONTROL!$C$23, $C$13, 100%, $E$13)</f>
        <v>15.2614</v>
      </c>
      <c r="E908" s="67">
        <f>17.4745 * CHOOSE(CONTROL!$C$23, $C$13, 100%, $E$13)</f>
        <v>17.474499999999999</v>
      </c>
      <c r="F908" s="67">
        <f>17.4745 * CHOOSE(CONTROL!$C$23, $C$13, 100%, $E$13)</f>
        <v>17.474499999999999</v>
      </c>
      <c r="G908" s="67">
        <f>17.4793 * CHOOSE(CONTROL!$C$23, $C$13, 100%, $E$13)</f>
        <v>17.479299999999999</v>
      </c>
      <c r="H908" s="67">
        <f>32.3116* CHOOSE(CONTROL!$C$23, $C$13, 100%, $E$13)</f>
        <v>32.311599999999999</v>
      </c>
      <c r="I908" s="67">
        <f>32.3164 * CHOOSE(CONTROL!$C$23, $C$13, 100%, $E$13)</f>
        <v>32.316400000000002</v>
      </c>
      <c r="J908" s="67">
        <f>17.4745 * CHOOSE(CONTROL!$C$23, $C$13, 100%, $E$13)</f>
        <v>17.474499999999999</v>
      </c>
      <c r="K908" s="67">
        <f>17.4793 * CHOOSE(CONTROL!$C$23, $C$13, 100%, $E$13)</f>
        <v>17.479299999999999</v>
      </c>
    </row>
    <row r="909" spans="1:11" ht="15">
      <c r="A909" s="13">
        <v>68789</v>
      </c>
      <c r="B909" s="66">
        <f>15.2576 * CHOOSE(CONTROL!$C$23, $C$13, 100%, $E$13)</f>
        <v>15.2576</v>
      </c>
      <c r="C909" s="66">
        <f>15.2576 * CHOOSE(CONTROL!$C$23, $C$13, 100%, $E$13)</f>
        <v>15.2576</v>
      </c>
      <c r="D909" s="66">
        <f>15.2631 * CHOOSE(CONTROL!$C$23, $C$13, 100%, $E$13)</f>
        <v>15.2631</v>
      </c>
      <c r="E909" s="67">
        <f>17.5727 * CHOOSE(CONTROL!$C$23, $C$13, 100%, $E$13)</f>
        <v>17.572700000000001</v>
      </c>
      <c r="F909" s="67">
        <f>17.5727 * CHOOSE(CONTROL!$C$23, $C$13, 100%, $E$13)</f>
        <v>17.572700000000001</v>
      </c>
      <c r="G909" s="67">
        <f>17.5794 * CHOOSE(CONTROL!$C$23, $C$13, 100%, $E$13)</f>
        <v>17.5794</v>
      </c>
      <c r="H909" s="67">
        <f>32.3789* CHOOSE(CONTROL!$C$23, $C$13, 100%, $E$13)</f>
        <v>32.378900000000002</v>
      </c>
      <c r="I909" s="67">
        <f>32.3856 * CHOOSE(CONTROL!$C$23, $C$13, 100%, $E$13)</f>
        <v>32.385599999999997</v>
      </c>
      <c r="J909" s="67">
        <f>17.5727 * CHOOSE(CONTROL!$C$23, $C$13, 100%, $E$13)</f>
        <v>17.572700000000001</v>
      </c>
      <c r="K909" s="67">
        <f>17.5794 * CHOOSE(CONTROL!$C$23, $C$13, 100%, $E$13)</f>
        <v>17.5794</v>
      </c>
    </row>
    <row r="910" spans="1:11" ht="15">
      <c r="A910" s="13">
        <v>68820</v>
      </c>
      <c r="B910" s="66">
        <f>15.2637 * CHOOSE(CONTROL!$C$23, $C$13, 100%, $E$13)</f>
        <v>15.2637</v>
      </c>
      <c r="C910" s="66">
        <f>15.2637 * CHOOSE(CONTROL!$C$23, $C$13, 100%, $E$13)</f>
        <v>15.2637</v>
      </c>
      <c r="D910" s="66">
        <f>15.2692 * CHOOSE(CONTROL!$C$23, $C$13, 100%, $E$13)</f>
        <v>15.2692</v>
      </c>
      <c r="E910" s="67">
        <f>17.4787 * CHOOSE(CONTROL!$C$23, $C$13, 100%, $E$13)</f>
        <v>17.4787</v>
      </c>
      <c r="F910" s="67">
        <f>17.4787 * CHOOSE(CONTROL!$C$23, $C$13, 100%, $E$13)</f>
        <v>17.4787</v>
      </c>
      <c r="G910" s="67">
        <f>17.4855 * CHOOSE(CONTROL!$C$23, $C$13, 100%, $E$13)</f>
        <v>17.485499999999998</v>
      </c>
      <c r="H910" s="67">
        <f>32.4464* CHOOSE(CONTROL!$C$23, $C$13, 100%, $E$13)</f>
        <v>32.446399999999997</v>
      </c>
      <c r="I910" s="67">
        <f>32.4531 * CHOOSE(CONTROL!$C$23, $C$13, 100%, $E$13)</f>
        <v>32.453099999999999</v>
      </c>
      <c r="J910" s="67">
        <f>17.4787 * CHOOSE(CONTROL!$C$23, $C$13, 100%, $E$13)</f>
        <v>17.4787</v>
      </c>
      <c r="K910" s="67">
        <f>17.4855 * CHOOSE(CONTROL!$C$23, $C$13, 100%, $E$13)</f>
        <v>17.485499999999998</v>
      </c>
    </row>
    <row r="911" spans="1:11" ht="15">
      <c r="A911" s="13">
        <v>68850</v>
      </c>
      <c r="B911" s="66">
        <f>15.4943 * CHOOSE(CONTROL!$C$23, $C$13, 100%, $E$13)</f>
        <v>15.494300000000001</v>
      </c>
      <c r="C911" s="66">
        <f>15.4943 * CHOOSE(CONTROL!$C$23, $C$13, 100%, $E$13)</f>
        <v>15.494300000000001</v>
      </c>
      <c r="D911" s="66">
        <f>15.4998 * CHOOSE(CONTROL!$C$23, $C$13, 100%, $E$13)</f>
        <v>15.4998</v>
      </c>
      <c r="E911" s="67">
        <f>17.7558 * CHOOSE(CONTROL!$C$23, $C$13, 100%, $E$13)</f>
        <v>17.755800000000001</v>
      </c>
      <c r="F911" s="67">
        <f>17.7558 * CHOOSE(CONTROL!$C$23, $C$13, 100%, $E$13)</f>
        <v>17.755800000000001</v>
      </c>
      <c r="G911" s="67">
        <f>17.7625 * CHOOSE(CONTROL!$C$23, $C$13, 100%, $E$13)</f>
        <v>17.762499999999999</v>
      </c>
      <c r="H911" s="67">
        <f>32.514* CHOOSE(CONTROL!$C$23, $C$13, 100%, $E$13)</f>
        <v>32.514000000000003</v>
      </c>
      <c r="I911" s="67">
        <f>32.5207 * CHOOSE(CONTROL!$C$23, $C$13, 100%, $E$13)</f>
        <v>32.520699999999998</v>
      </c>
      <c r="J911" s="67">
        <f>17.7558 * CHOOSE(CONTROL!$C$23, $C$13, 100%, $E$13)</f>
        <v>17.755800000000001</v>
      </c>
      <c r="K911" s="67">
        <f>17.7625 * CHOOSE(CONTROL!$C$23, $C$13, 100%, $E$13)</f>
        <v>17.762499999999999</v>
      </c>
    </row>
    <row r="912" spans="1:11" ht="15">
      <c r="A912" s="13">
        <v>68881</v>
      </c>
      <c r="B912" s="66">
        <f>15.501 * CHOOSE(CONTROL!$C$23, $C$13, 100%, $E$13)</f>
        <v>15.500999999999999</v>
      </c>
      <c r="C912" s="66">
        <f>15.501 * CHOOSE(CONTROL!$C$23, $C$13, 100%, $E$13)</f>
        <v>15.500999999999999</v>
      </c>
      <c r="D912" s="66">
        <f>15.5065 * CHOOSE(CONTROL!$C$23, $C$13, 100%, $E$13)</f>
        <v>15.506500000000001</v>
      </c>
      <c r="E912" s="67">
        <f>17.4658 * CHOOSE(CONTROL!$C$23, $C$13, 100%, $E$13)</f>
        <v>17.465800000000002</v>
      </c>
      <c r="F912" s="67">
        <f>17.4658 * CHOOSE(CONTROL!$C$23, $C$13, 100%, $E$13)</f>
        <v>17.465800000000002</v>
      </c>
      <c r="G912" s="67">
        <f>17.4726 * CHOOSE(CONTROL!$C$23, $C$13, 100%, $E$13)</f>
        <v>17.4726</v>
      </c>
      <c r="H912" s="67">
        <f>32.5817* CHOOSE(CONTROL!$C$23, $C$13, 100%, $E$13)</f>
        <v>32.581699999999998</v>
      </c>
      <c r="I912" s="67">
        <f>32.5884 * CHOOSE(CONTROL!$C$23, $C$13, 100%, $E$13)</f>
        <v>32.5884</v>
      </c>
      <c r="J912" s="67">
        <f>17.4658 * CHOOSE(CONTROL!$C$23, $C$13, 100%, $E$13)</f>
        <v>17.465800000000002</v>
      </c>
      <c r="K912" s="67">
        <f>17.4726 * CHOOSE(CONTROL!$C$23, $C$13, 100%, $E$13)</f>
        <v>17.4726</v>
      </c>
    </row>
    <row r="913" spans="1:11" ht="15">
      <c r="A913" s="13">
        <v>68912</v>
      </c>
      <c r="B913" s="66">
        <f>15.498 * CHOOSE(CONTROL!$C$23, $C$13, 100%, $E$13)</f>
        <v>15.497999999999999</v>
      </c>
      <c r="C913" s="66">
        <f>15.498 * CHOOSE(CONTROL!$C$23, $C$13, 100%, $E$13)</f>
        <v>15.497999999999999</v>
      </c>
      <c r="D913" s="66">
        <f>15.5035 * CHOOSE(CONTROL!$C$23, $C$13, 100%, $E$13)</f>
        <v>15.503500000000001</v>
      </c>
      <c r="E913" s="67">
        <f>17.431 * CHOOSE(CONTROL!$C$23, $C$13, 100%, $E$13)</f>
        <v>17.431000000000001</v>
      </c>
      <c r="F913" s="67">
        <f>17.431 * CHOOSE(CONTROL!$C$23, $C$13, 100%, $E$13)</f>
        <v>17.431000000000001</v>
      </c>
      <c r="G913" s="67">
        <f>17.4377 * CHOOSE(CONTROL!$C$23, $C$13, 100%, $E$13)</f>
        <v>17.4377</v>
      </c>
      <c r="H913" s="67">
        <f>32.6496* CHOOSE(CONTROL!$C$23, $C$13, 100%, $E$13)</f>
        <v>32.6496</v>
      </c>
      <c r="I913" s="67">
        <f>32.6563 * CHOOSE(CONTROL!$C$23, $C$13, 100%, $E$13)</f>
        <v>32.656300000000002</v>
      </c>
      <c r="J913" s="67">
        <f>17.431 * CHOOSE(CONTROL!$C$23, $C$13, 100%, $E$13)</f>
        <v>17.431000000000001</v>
      </c>
      <c r="K913" s="67">
        <f>17.4377 * CHOOSE(CONTROL!$C$23, $C$13, 100%, $E$13)</f>
        <v>17.4377</v>
      </c>
    </row>
    <row r="914" spans="1:11" ht="15">
      <c r="A914" s="13">
        <v>68942</v>
      </c>
      <c r="B914" s="66">
        <f>15.53 * CHOOSE(CONTROL!$C$23, $C$13, 100%, $E$13)</f>
        <v>15.53</v>
      </c>
      <c r="C914" s="66">
        <f>15.53 * CHOOSE(CONTROL!$C$23, $C$13, 100%, $E$13)</f>
        <v>15.53</v>
      </c>
      <c r="D914" s="66">
        <f>15.5339 * CHOOSE(CONTROL!$C$23, $C$13, 100%, $E$13)</f>
        <v>15.533899999999999</v>
      </c>
      <c r="E914" s="67">
        <f>17.5485 * CHOOSE(CONTROL!$C$23, $C$13, 100%, $E$13)</f>
        <v>17.548500000000001</v>
      </c>
      <c r="F914" s="67">
        <f>17.5485 * CHOOSE(CONTROL!$C$23, $C$13, 100%, $E$13)</f>
        <v>17.548500000000001</v>
      </c>
      <c r="G914" s="67">
        <f>17.5533 * CHOOSE(CONTROL!$C$23, $C$13, 100%, $E$13)</f>
        <v>17.5533</v>
      </c>
      <c r="H914" s="67">
        <f>32.7176* CHOOSE(CONTROL!$C$23, $C$13, 100%, $E$13)</f>
        <v>32.717599999999997</v>
      </c>
      <c r="I914" s="67">
        <f>32.7224 * CHOOSE(CONTROL!$C$23, $C$13, 100%, $E$13)</f>
        <v>32.7224</v>
      </c>
      <c r="J914" s="67">
        <f>17.5485 * CHOOSE(CONTROL!$C$23, $C$13, 100%, $E$13)</f>
        <v>17.548500000000001</v>
      </c>
      <c r="K914" s="67">
        <f>17.5533 * CHOOSE(CONTROL!$C$23, $C$13, 100%, $E$13)</f>
        <v>17.5533</v>
      </c>
    </row>
    <row r="915" spans="1:11" ht="15">
      <c r="A915" s="13">
        <v>68973</v>
      </c>
      <c r="B915" s="66">
        <f>15.533 * CHOOSE(CONTROL!$C$23, $C$13, 100%, $E$13)</f>
        <v>15.532999999999999</v>
      </c>
      <c r="C915" s="66">
        <f>15.533 * CHOOSE(CONTROL!$C$23, $C$13, 100%, $E$13)</f>
        <v>15.532999999999999</v>
      </c>
      <c r="D915" s="66">
        <f>15.5369 * CHOOSE(CONTROL!$C$23, $C$13, 100%, $E$13)</f>
        <v>15.536899999999999</v>
      </c>
      <c r="E915" s="67">
        <f>17.6161 * CHOOSE(CONTROL!$C$23, $C$13, 100%, $E$13)</f>
        <v>17.616099999999999</v>
      </c>
      <c r="F915" s="67">
        <f>17.6161 * CHOOSE(CONTROL!$C$23, $C$13, 100%, $E$13)</f>
        <v>17.616099999999999</v>
      </c>
      <c r="G915" s="67">
        <f>17.6208 * CHOOSE(CONTROL!$C$23, $C$13, 100%, $E$13)</f>
        <v>17.620799999999999</v>
      </c>
      <c r="H915" s="67">
        <f>32.7857* CHOOSE(CONTROL!$C$23, $C$13, 100%, $E$13)</f>
        <v>32.785699999999999</v>
      </c>
      <c r="I915" s="67">
        <f>32.7905 * CHOOSE(CONTROL!$C$23, $C$13, 100%, $E$13)</f>
        <v>32.790500000000002</v>
      </c>
      <c r="J915" s="67">
        <f>17.6161 * CHOOSE(CONTROL!$C$23, $C$13, 100%, $E$13)</f>
        <v>17.616099999999999</v>
      </c>
      <c r="K915" s="67">
        <f>17.6208 * CHOOSE(CONTROL!$C$23, $C$13, 100%, $E$13)</f>
        <v>17.620799999999999</v>
      </c>
    </row>
    <row r="916" spans="1:11" ht="15">
      <c r="A916" s="13">
        <v>69003</v>
      </c>
      <c r="B916" s="66">
        <f>15.533 * CHOOSE(CONTROL!$C$23, $C$13, 100%, $E$13)</f>
        <v>15.532999999999999</v>
      </c>
      <c r="C916" s="66">
        <f>15.533 * CHOOSE(CONTROL!$C$23, $C$13, 100%, $E$13)</f>
        <v>15.532999999999999</v>
      </c>
      <c r="D916" s="66">
        <f>15.5369 * CHOOSE(CONTROL!$C$23, $C$13, 100%, $E$13)</f>
        <v>15.536899999999999</v>
      </c>
      <c r="E916" s="67">
        <f>17.4524 * CHOOSE(CONTROL!$C$23, $C$13, 100%, $E$13)</f>
        <v>17.452400000000001</v>
      </c>
      <c r="F916" s="67">
        <f>17.4524 * CHOOSE(CONTROL!$C$23, $C$13, 100%, $E$13)</f>
        <v>17.452400000000001</v>
      </c>
      <c r="G916" s="67">
        <f>17.4572 * CHOOSE(CONTROL!$C$23, $C$13, 100%, $E$13)</f>
        <v>17.4572</v>
      </c>
      <c r="H916" s="67">
        <f>32.8541* CHOOSE(CONTROL!$C$23, $C$13, 100%, $E$13)</f>
        <v>32.854100000000003</v>
      </c>
      <c r="I916" s="67">
        <f>32.8588 * CHOOSE(CONTROL!$C$23, $C$13, 100%, $E$13)</f>
        <v>32.858800000000002</v>
      </c>
      <c r="J916" s="67">
        <f>17.4524 * CHOOSE(CONTROL!$C$23, $C$13, 100%, $E$13)</f>
        <v>17.452400000000001</v>
      </c>
      <c r="K916" s="67">
        <f>17.4572 * CHOOSE(CONTROL!$C$23, $C$13, 100%, $E$13)</f>
        <v>17.4572</v>
      </c>
    </row>
    <row r="917" spans="1:11" ht="15">
      <c r="A917" s="13">
        <v>69034</v>
      </c>
      <c r="B917" s="66">
        <f>15.4922 * CHOOSE(CONTROL!$C$23, $C$13, 100%, $E$13)</f>
        <v>15.4922</v>
      </c>
      <c r="C917" s="66">
        <f>15.4922 * CHOOSE(CONTROL!$C$23, $C$13, 100%, $E$13)</f>
        <v>15.4922</v>
      </c>
      <c r="D917" s="66">
        <f>15.496 * CHOOSE(CONTROL!$C$23, $C$13, 100%, $E$13)</f>
        <v>15.496</v>
      </c>
      <c r="E917" s="67">
        <f>17.5413 * CHOOSE(CONTROL!$C$23, $C$13, 100%, $E$13)</f>
        <v>17.5413</v>
      </c>
      <c r="F917" s="67">
        <f>17.5413 * CHOOSE(CONTROL!$C$23, $C$13, 100%, $E$13)</f>
        <v>17.5413</v>
      </c>
      <c r="G917" s="67">
        <f>17.5461 * CHOOSE(CONTROL!$C$23, $C$13, 100%, $E$13)</f>
        <v>17.546099999999999</v>
      </c>
      <c r="H917" s="67">
        <f>32.593* CHOOSE(CONTROL!$C$23, $C$13, 100%, $E$13)</f>
        <v>32.593000000000004</v>
      </c>
      <c r="I917" s="67">
        <f>32.5978 * CHOOSE(CONTROL!$C$23, $C$13, 100%, $E$13)</f>
        <v>32.597799999999999</v>
      </c>
      <c r="J917" s="67">
        <f>17.5413 * CHOOSE(CONTROL!$C$23, $C$13, 100%, $E$13)</f>
        <v>17.5413</v>
      </c>
      <c r="K917" s="67">
        <f>17.5461 * CHOOSE(CONTROL!$C$23, $C$13, 100%, $E$13)</f>
        <v>17.546099999999999</v>
      </c>
    </row>
    <row r="918" spans="1:11" ht="15">
      <c r="A918" s="13">
        <v>69065</v>
      </c>
      <c r="B918" s="66">
        <f>15.4891 * CHOOSE(CONTROL!$C$23, $C$13, 100%, $E$13)</f>
        <v>15.489100000000001</v>
      </c>
      <c r="C918" s="66">
        <f>15.4891 * CHOOSE(CONTROL!$C$23, $C$13, 100%, $E$13)</f>
        <v>15.489100000000001</v>
      </c>
      <c r="D918" s="66">
        <f>15.493 * CHOOSE(CONTROL!$C$23, $C$13, 100%, $E$13)</f>
        <v>15.493</v>
      </c>
      <c r="E918" s="67">
        <f>17.225 * CHOOSE(CONTROL!$C$23, $C$13, 100%, $E$13)</f>
        <v>17.225000000000001</v>
      </c>
      <c r="F918" s="67">
        <f>17.225 * CHOOSE(CONTROL!$C$23, $C$13, 100%, $E$13)</f>
        <v>17.225000000000001</v>
      </c>
      <c r="G918" s="67">
        <f>17.2297 * CHOOSE(CONTROL!$C$23, $C$13, 100%, $E$13)</f>
        <v>17.229700000000001</v>
      </c>
      <c r="H918" s="67">
        <f>32.6609* CHOOSE(CONTROL!$C$23, $C$13, 100%, $E$13)</f>
        <v>32.660899999999998</v>
      </c>
      <c r="I918" s="67">
        <f>32.6657 * CHOOSE(CONTROL!$C$23, $C$13, 100%, $E$13)</f>
        <v>32.665700000000001</v>
      </c>
      <c r="J918" s="67">
        <f>17.225 * CHOOSE(CONTROL!$C$23, $C$13, 100%, $E$13)</f>
        <v>17.225000000000001</v>
      </c>
      <c r="K918" s="67">
        <f>17.2297 * CHOOSE(CONTROL!$C$23, $C$13, 100%, $E$13)</f>
        <v>17.229700000000001</v>
      </c>
    </row>
    <row r="919" spans="1:11" ht="15">
      <c r="A919" s="13">
        <v>69093</v>
      </c>
      <c r="B919" s="66">
        <f>15.4861 * CHOOSE(CONTROL!$C$23, $C$13, 100%, $E$13)</f>
        <v>15.4861</v>
      </c>
      <c r="C919" s="66">
        <f>15.4861 * CHOOSE(CONTROL!$C$23, $C$13, 100%, $E$13)</f>
        <v>15.4861</v>
      </c>
      <c r="D919" s="66">
        <f>15.4899 * CHOOSE(CONTROL!$C$23, $C$13, 100%, $E$13)</f>
        <v>15.4899</v>
      </c>
      <c r="E919" s="67">
        <f>17.4706 * CHOOSE(CONTROL!$C$23, $C$13, 100%, $E$13)</f>
        <v>17.470600000000001</v>
      </c>
      <c r="F919" s="67">
        <f>17.4706 * CHOOSE(CONTROL!$C$23, $C$13, 100%, $E$13)</f>
        <v>17.470600000000001</v>
      </c>
      <c r="G919" s="67">
        <f>17.4753 * CHOOSE(CONTROL!$C$23, $C$13, 100%, $E$13)</f>
        <v>17.475300000000001</v>
      </c>
      <c r="H919" s="67">
        <f>32.729* CHOOSE(CONTROL!$C$23, $C$13, 100%, $E$13)</f>
        <v>32.728999999999999</v>
      </c>
      <c r="I919" s="67">
        <f>32.7337 * CHOOSE(CONTROL!$C$23, $C$13, 100%, $E$13)</f>
        <v>32.733699999999999</v>
      </c>
      <c r="J919" s="67">
        <f>17.4706 * CHOOSE(CONTROL!$C$23, $C$13, 100%, $E$13)</f>
        <v>17.470600000000001</v>
      </c>
      <c r="K919" s="67">
        <f>17.4753 * CHOOSE(CONTROL!$C$23, $C$13, 100%, $E$13)</f>
        <v>17.475300000000001</v>
      </c>
    </row>
    <row r="920" spans="1:11" ht="15">
      <c r="A920" s="13">
        <v>69124</v>
      </c>
      <c r="B920" s="66">
        <f>15.4933 * CHOOSE(CONTROL!$C$23, $C$13, 100%, $E$13)</f>
        <v>15.4933</v>
      </c>
      <c r="C920" s="66">
        <f>15.4933 * CHOOSE(CONTROL!$C$23, $C$13, 100%, $E$13)</f>
        <v>15.4933</v>
      </c>
      <c r="D920" s="66">
        <f>15.4972 * CHOOSE(CONTROL!$C$23, $C$13, 100%, $E$13)</f>
        <v>15.497199999999999</v>
      </c>
      <c r="E920" s="67">
        <f>17.7324 * CHOOSE(CONTROL!$C$23, $C$13, 100%, $E$13)</f>
        <v>17.732399999999998</v>
      </c>
      <c r="F920" s="67">
        <f>17.7324 * CHOOSE(CONTROL!$C$23, $C$13, 100%, $E$13)</f>
        <v>17.732399999999998</v>
      </c>
      <c r="G920" s="67">
        <f>17.7371 * CHOOSE(CONTROL!$C$23, $C$13, 100%, $E$13)</f>
        <v>17.737100000000002</v>
      </c>
      <c r="H920" s="67">
        <f>32.7972* CHOOSE(CONTROL!$C$23, $C$13, 100%, $E$13)</f>
        <v>32.797199999999997</v>
      </c>
      <c r="I920" s="67">
        <f>32.8019 * CHOOSE(CONTROL!$C$23, $C$13, 100%, $E$13)</f>
        <v>32.801900000000003</v>
      </c>
      <c r="J920" s="67">
        <f>17.7324 * CHOOSE(CONTROL!$C$23, $C$13, 100%, $E$13)</f>
        <v>17.732399999999998</v>
      </c>
      <c r="K920" s="67">
        <f>17.7371 * CHOOSE(CONTROL!$C$23, $C$13, 100%, $E$13)</f>
        <v>17.737100000000002</v>
      </c>
    </row>
    <row r="921" spans="1:11" ht="15">
      <c r="A921" s="13">
        <v>69154</v>
      </c>
      <c r="B921" s="66">
        <f>15.4933 * CHOOSE(CONTROL!$C$23, $C$13, 100%, $E$13)</f>
        <v>15.4933</v>
      </c>
      <c r="C921" s="66">
        <f>15.4933 * CHOOSE(CONTROL!$C$23, $C$13, 100%, $E$13)</f>
        <v>15.4933</v>
      </c>
      <c r="D921" s="66">
        <f>15.4988 * CHOOSE(CONTROL!$C$23, $C$13, 100%, $E$13)</f>
        <v>15.498799999999999</v>
      </c>
      <c r="E921" s="67">
        <f>17.8321 * CHOOSE(CONTROL!$C$23, $C$13, 100%, $E$13)</f>
        <v>17.832100000000001</v>
      </c>
      <c r="F921" s="67">
        <f>17.8321 * CHOOSE(CONTROL!$C$23, $C$13, 100%, $E$13)</f>
        <v>17.832100000000001</v>
      </c>
      <c r="G921" s="67">
        <f>17.8389 * CHOOSE(CONTROL!$C$23, $C$13, 100%, $E$13)</f>
        <v>17.838899999999999</v>
      </c>
      <c r="H921" s="67">
        <f>32.8655* CHOOSE(CONTROL!$C$23, $C$13, 100%, $E$13)</f>
        <v>32.865499999999997</v>
      </c>
      <c r="I921" s="67">
        <f>32.8722 * CHOOSE(CONTROL!$C$23, $C$13, 100%, $E$13)</f>
        <v>32.872199999999999</v>
      </c>
      <c r="J921" s="67">
        <f>17.8321 * CHOOSE(CONTROL!$C$23, $C$13, 100%, $E$13)</f>
        <v>17.832100000000001</v>
      </c>
      <c r="K921" s="67">
        <f>17.8389 * CHOOSE(CONTROL!$C$23, $C$13, 100%, $E$13)</f>
        <v>17.838899999999999</v>
      </c>
    </row>
    <row r="922" spans="1:11" ht="15">
      <c r="A922" s="13">
        <v>69185</v>
      </c>
      <c r="B922" s="66">
        <f>15.4994 * CHOOSE(CONTROL!$C$23, $C$13, 100%, $E$13)</f>
        <v>15.4994</v>
      </c>
      <c r="C922" s="66">
        <f>15.4994 * CHOOSE(CONTROL!$C$23, $C$13, 100%, $E$13)</f>
        <v>15.4994</v>
      </c>
      <c r="D922" s="66">
        <f>15.5049 * CHOOSE(CONTROL!$C$23, $C$13, 100%, $E$13)</f>
        <v>15.504899999999999</v>
      </c>
      <c r="E922" s="67">
        <f>17.7366 * CHOOSE(CONTROL!$C$23, $C$13, 100%, $E$13)</f>
        <v>17.736599999999999</v>
      </c>
      <c r="F922" s="67">
        <f>17.7366 * CHOOSE(CONTROL!$C$23, $C$13, 100%, $E$13)</f>
        <v>17.736599999999999</v>
      </c>
      <c r="G922" s="67">
        <f>17.7433 * CHOOSE(CONTROL!$C$23, $C$13, 100%, $E$13)</f>
        <v>17.743300000000001</v>
      </c>
      <c r="H922" s="67">
        <f>32.9339* CHOOSE(CONTROL!$C$23, $C$13, 100%, $E$13)</f>
        <v>32.933900000000001</v>
      </c>
      <c r="I922" s="67">
        <f>32.9407 * CHOOSE(CONTROL!$C$23, $C$13, 100%, $E$13)</f>
        <v>32.9407</v>
      </c>
      <c r="J922" s="67">
        <f>17.7366 * CHOOSE(CONTROL!$C$23, $C$13, 100%, $E$13)</f>
        <v>17.736599999999999</v>
      </c>
      <c r="K922" s="67">
        <f>17.7433 * CHOOSE(CONTROL!$C$23, $C$13, 100%, $E$13)</f>
        <v>17.743300000000001</v>
      </c>
    </row>
    <row r="923" spans="1:11" ht="15">
      <c r="A923" s="13">
        <v>69215</v>
      </c>
      <c r="B923" s="66">
        <f>15.7335 * CHOOSE(CONTROL!$C$23, $C$13, 100%, $E$13)</f>
        <v>15.733499999999999</v>
      </c>
      <c r="C923" s="66">
        <f>15.7335 * CHOOSE(CONTROL!$C$23, $C$13, 100%, $E$13)</f>
        <v>15.733499999999999</v>
      </c>
      <c r="D923" s="66">
        <f>15.739 * CHOOSE(CONTROL!$C$23, $C$13, 100%, $E$13)</f>
        <v>15.739000000000001</v>
      </c>
      <c r="E923" s="67">
        <f>18.0175 * CHOOSE(CONTROL!$C$23, $C$13, 100%, $E$13)</f>
        <v>18.017499999999998</v>
      </c>
      <c r="F923" s="67">
        <f>18.0175 * CHOOSE(CONTROL!$C$23, $C$13, 100%, $E$13)</f>
        <v>18.017499999999998</v>
      </c>
      <c r="G923" s="67">
        <f>18.0243 * CHOOSE(CONTROL!$C$23, $C$13, 100%, $E$13)</f>
        <v>18.0243</v>
      </c>
      <c r="H923" s="67">
        <f>33.0026* CHOOSE(CONTROL!$C$23, $C$13, 100%, $E$13)</f>
        <v>33.002600000000001</v>
      </c>
      <c r="I923" s="67">
        <f>33.0093 * CHOOSE(CONTROL!$C$23, $C$13, 100%, $E$13)</f>
        <v>33.009300000000003</v>
      </c>
      <c r="J923" s="67">
        <f>18.0175 * CHOOSE(CONTROL!$C$23, $C$13, 100%, $E$13)</f>
        <v>18.017499999999998</v>
      </c>
      <c r="K923" s="67">
        <f>18.0243 * CHOOSE(CONTROL!$C$23, $C$13, 100%, $E$13)</f>
        <v>18.0243</v>
      </c>
    </row>
    <row r="924" spans="1:11" ht="15">
      <c r="A924" s="13">
        <v>69246</v>
      </c>
      <c r="B924" s="66">
        <f>15.7402 * CHOOSE(CONTROL!$C$23, $C$13, 100%, $E$13)</f>
        <v>15.7402</v>
      </c>
      <c r="C924" s="66">
        <f>15.7402 * CHOOSE(CONTROL!$C$23, $C$13, 100%, $E$13)</f>
        <v>15.7402</v>
      </c>
      <c r="D924" s="66">
        <f>15.7457 * CHOOSE(CONTROL!$C$23, $C$13, 100%, $E$13)</f>
        <v>15.745699999999999</v>
      </c>
      <c r="E924" s="67">
        <f>17.7229 * CHOOSE(CONTROL!$C$23, $C$13, 100%, $E$13)</f>
        <v>17.722899999999999</v>
      </c>
      <c r="F924" s="67">
        <f>17.7229 * CHOOSE(CONTROL!$C$23, $C$13, 100%, $E$13)</f>
        <v>17.722899999999999</v>
      </c>
      <c r="G924" s="67">
        <f>17.7296 * CHOOSE(CONTROL!$C$23, $C$13, 100%, $E$13)</f>
        <v>17.729600000000001</v>
      </c>
      <c r="H924" s="67">
        <f>33.0713* CHOOSE(CONTROL!$C$23, $C$13, 100%, $E$13)</f>
        <v>33.071300000000001</v>
      </c>
      <c r="I924" s="67">
        <f>33.0781 * CHOOSE(CONTROL!$C$23, $C$13, 100%, $E$13)</f>
        <v>33.078099999999999</v>
      </c>
      <c r="J924" s="67">
        <f>17.7229 * CHOOSE(CONTROL!$C$23, $C$13, 100%, $E$13)</f>
        <v>17.722899999999999</v>
      </c>
      <c r="K924" s="67">
        <f>17.7296 * CHOOSE(CONTROL!$C$23, $C$13, 100%, $E$13)</f>
        <v>17.729600000000001</v>
      </c>
    </row>
    <row r="925" spans="1:11" ht="15">
      <c r="A925" s="13">
        <v>69277</v>
      </c>
      <c r="B925" s="66">
        <f>15.7371 * CHOOSE(CONTROL!$C$23, $C$13, 100%, $E$13)</f>
        <v>15.7371</v>
      </c>
      <c r="C925" s="66">
        <f>15.7371 * CHOOSE(CONTROL!$C$23, $C$13, 100%, $E$13)</f>
        <v>15.7371</v>
      </c>
      <c r="D925" s="66">
        <f>15.7426 * CHOOSE(CONTROL!$C$23, $C$13, 100%, $E$13)</f>
        <v>15.742599999999999</v>
      </c>
      <c r="E925" s="67">
        <f>17.6875 * CHOOSE(CONTROL!$C$23, $C$13, 100%, $E$13)</f>
        <v>17.6875</v>
      </c>
      <c r="F925" s="67">
        <f>17.6875 * CHOOSE(CONTROL!$C$23, $C$13, 100%, $E$13)</f>
        <v>17.6875</v>
      </c>
      <c r="G925" s="67">
        <f>17.6943 * CHOOSE(CONTROL!$C$23, $C$13, 100%, $E$13)</f>
        <v>17.694299999999998</v>
      </c>
      <c r="H925" s="67">
        <f>33.1402* CHOOSE(CONTROL!$C$23, $C$13, 100%, $E$13)</f>
        <v>33.1402</v>
      </c>
      <c r="I925" s="67">
        <f>33.147 * CHOOSE(CONTROL!$C$23, $C$13, 100%, $E$13)</f>
        <v>33.146999999999998</v>
      </c>
      <c r="J925" s="67">
        <f>17.6875 * CHOOSE(CONTROL!$C$23, $C$13, 100%, $E$13)</f>
        <v>17.6875</v>
      </c>
      <c r="K925" s="67">
        <f>17.6943 * CHOOSE(CONTROL!$C$23, $C$13, 100%, $E$13)</f>
        <v>17.694299999999998</v>
      </c>
    </row>
    <row r="926" spans="1:11" ht="15">
      <c r="A926" s="13">
        <v>69307</v>
      </c>
      <c r="B926" s="66">
        <f>15.7699 * CHOOSE(CONTROL!$C$23, $C$13, 100%, $E$13)</f>
        <v>15.7699</v>
      </c>
      <c r="C926" s="66">
        <f>15.7699 * CHOOSE(CONTROL!$C$23, $C$13, 100%, $E$13)</f>
        <v>15.7699</v>
      </c>
      <c r="D926" s="66">
        <f>15.7738 * CHOOSE(CONTROL!$C$23, $C$13, 100%, $E$13)</f>
        <v>15.7738</v>
      </c>
      <c r="E926" s="67">
        <f>17.8071 * CHOOSE(CONTROL!$C$23, $C$13, 100%, $E$13)</f>
        <v>17.807099999999998</v>
      </c>
      <c r="F926" s="67">
        <f>17.8071 * CHOOSE(CONTROL!$C$23, $C$13, 100%, $E$13)</f>
        <v>17.807099999999998</v>
      </c>
      <c r="G926" s="67">
        <f>17.8119 * CHOOSE(CONTROL!$C$23, $C$13, 100%, $E$13)</f>
        <v>17.811900000000001</v>
      </c>
      <c r="H926" s="67">
        <f>33.2093* CHOOSE(CONTROL!$C$23, $C$13, 100%, $E$13)</f>
        <v>33.209299999999999</v>
      </c>
      <c r="I926" s="67">
        <f>33.214 * CHOOSE(CONTROL!$C$23, $C$13, 100%, $E$13)</f>
        <v>33.213999999999999</v>
      </c>
      <c r="J926" s="67">
        <f>17.8071 * CHOOSE(CONTROL!$C$23, $C$13, 100%, $E$13)</f>
        <v>17.807099999999998</v>
      </c>
      <c r="K926" s="67">
        <f>17.8119 * CHOOSE(CONTROL!$C$23, $C$13, 100%, $E$13)</f>
        <v>17.811900000000001</v>
      </c>
    </row>
    <row r="927" spans="1:11" ht="15">
      <c r="A927" s="13">
        <v>69338</v>
      </c>
      <c r="B927" s="66">
        <f>15.773 * CHOOSE(CONTROL!$C$23, $C$13, 100%, $E$13)</f>
        <v>15.773</v>
      </c>
      <c r="C927" s="66">
        <f>15.773 * CHOOSE(CONTROL!$C$23, $C$13, 100%, $E$13)</f>
        <v>15.773</v>
      </c>
      <c r="D927" s="66">
        <f>15.7768 * CHOOSE(CONTROL!$C$23, $C$13, 100%, $E$13)</f>
        <v>15.7768</v>
      </c>
      <c r="E927" s="67">
        <f>17.8758 * CHOOSE(CONTROL!$C$23, $C$13, 100%, $E$13)</f>
        <v>17.875800000000002</v>
      </c>
      <c r="F927" s="67">
        <f>17.8758 * CHOOSE(CONTROL!$C$23, $C$13, 100%, $E$13)</f>
        <v>17.875800000000002</v>
      </c>
      <c r="G927" s="67">
        <f>17.8805 * CHOOSE(CONTROL!$C$23, $C$13, 100%, $E$13)</f>
        <v>17.880500000000001</v>
      </c>
      <c r="H927" s="67">
        <f>33.2784* CHOOSE(CONTROL!$C$23, $C$13, 100%, $E$13)</f>
        <v>33.278399999999998</v>
      </c>
      <c r="I927" s="67">
        <f>33.2832 * CHOOSE(CONTROL!$C$23, $C$13, 100%, $E$13)</f>
        <v>33.283200000000001</v>
      </c>
      <c r="J927" s="67">
        <f>17.8758 * CHOOSE(CONTROL!$C$23, $C$13, 100%, $E$13)</f>
        <v>17.875800000000002</v>
      </c>
      <c r="K927" s="67">
        <f>17.8805 * CHOOSE(CONTROL!$C$23, $C$13, 100%, $E$13)</f>
        <v>17.880500000000001</v>
      </c>
    </row>
    <row r="928" spans="1:11" ht="15">
      <c r="A928" s="13">
        <v>69368</v>
      </c>
      <c r="B928" s="66">
        <f>15.773 * CHOOSE(CONTROL!$C$23, $C$13, 100%, $E$13)</f>
        <v>15.773</v>
      </c>
      <c r="C928" s="66">
        <f>15.773 * CHOOSE(CONTROL!$C$23, $C$13, 100%, $E$13)</f>
        <v>15.773</v>
      </c>
      <c r="D928" s="66">
        <f>15.7768 * CHOOSE(CONTROL!$C$23, $C$13, 100%, $E$13)</f>
        <v>15.7768</v>
      </c>
      <c r="E928" s="67">
        <f>17.7095 * CHOOSE(CONTROL!$C$23, $C$13, 100%, $E$13)</f>
        <v>17.709499999999998</v>
      </c>
      <c r="F928" s="67">
        <f>17.7095 * CHOOSE(CONTROL!$C$23, $C$13, 100%, $E$13)</f>
        <v>17.709499999999998</v>
      </c>
      <c r="G928" s="67">
        <f>17.7143 * CHOOSE(CONTROL!$C$23, $C$13, 100%, $E$13)</f>
        <v>17.714300000000001</v>
      </c>
      <c r="H928" s="67">
        <f>33.3478* CHOOSE(CONTROL!$C$23, $C$13, 100%, $E$13)</f>
        <v>33.347799999999999</v>
      </c>
      <c r="I928" s="67">
        <f>33.3525 * CHOOSE(CONTROL!$C$23, $C$13, 100%, $E$13)</f>
        <v>33.352499999999999</v>
      </c>
      <c r="J928" s="67">
        <f>17.7095 * CHOOSE(CONTROL!$C$23, $C$13, 100%, $E$13)</f>
        <v>17.709499999999998</v>
      </c>
      <c r="K928" s="67">
        <f>17.7143 * CHOOSE(CONTROL!$C$23, $C$13, 100%, $E$13)</f>
        <v>17.714300000000001</v>
      </c>
    </row>
    <row r="929" spans="1:11" ht="15">
      <c r="A929" s="13">
        <v>69399</v>
      </c>
      <c r="B929" s="66">
        <f>15.7277 * CHOOSE(CONTROL!$C$23, $C$13, 100%, $E$13)</f>
        <v>15.7277</v>
      </c>
      <c r="C929" s="66">
        <f>15.7277 * CHOOSE(CONTROL!$C$23, $C$13, 100%, $E$13)</f>
        <v>15.7277</v>
      </c>
      <c r="D929" s="66">
        <f>15.7316 * CHOOSE(CONTROL!$C$23, $C$13, 100%, $E$13)</f>
        <v>15.7316</v>
      </c>
      <c r="E929" s="67">
        <f>17.796 * CHOOSE(CONTROL!$C$23, $C$13, 100%, $E$13)</f>
        <v>17.795999999999999</v>
      </c>
      <c r="F929" s="67">
        <f>17.796 * CHOOSE(CONTROL!$C$23, $C$13, 100%, $E$13)</f>
        <v>17.795999999999999</v>
      </c>
      <c r="G929" s="67">
        <f>17.8008 * CHOOSE(CONTROL!$C$23, $C$13, 100%, $E$13)</f>
        <v>17.800799999999999</v>
      </c>
      <c r="H929" s="67">
        <f>33.0756* CHOOSE(CONTROL!$C$23, $C$13, 100%, $E$13)</f>
        <v>33.075600000000001</v>
      </c>
      <c r="I929" s="67">
        <f>33.0803 * CHOOSE(CONTROL!$C$23, $C$13, 100%, $E$13)</f>
        <v>33.080300000000001</v>
      </c>
      <c r="J929" s="67">
        <f>17.796 * CHOOSE(CONTROL!$C$23, $C$13, 100%, $E$13)</f>
        <v>17.795999999999999</v>
      </c>
      <c r="K929" s="67">
        <f>17.8008 * CHOOSE(CONTROL!$C$23, $C$13, 100%, $E$13)</f>
        <v>17.800799999999999</v>
      </c>
    </row>
    <row r="930" spans="1:11" ht="15">
      <c r="A930" s="13">
        <v>69430</v>
      </c>
      <c r="B930" s="66">
        <f>15.7247 * CHOOSE(CONTROL!$C$23, $C$13, 100%, $E$13)</f>
        <v>15.7247</v>
      </c>
      <c r="C930" s="66">
        <f>15.7247 * CHOOSE(CONTROL!$C$23, $C$13, 100%, $E$13)</f>
        <v>15.7247</v>
      </c>
      <c r="D930" s="66">
        <f>15.7286 * CHOOSE(CONTROL!$C$23, $C$13, 100%, $E$13)</f>
        <v>15.7286</v>
      </c>
      <c r="E930" s="67">
        <f>17.4747 * CHOOSE(CONTROL!$C$23, $C$13, 100%, $E$13)</f>
        <v>17.474699999999999</v>
      </c>
      <c r="F930" s="67">
        <f>17.4747 * CHOOSE(CONTROL!$C$23, $C$13, 100%, $E$13)</f>
        <v>17.474699999999999</v>
      </c>
      <c r="G930" s="67">
        <f>17.4795 * CHOOSE(CONTROL!$C$23, $C$13, 100%, $E$13)</f>
        <v>17.479500000000002</v>
      </c>
      <c r="H930" s="67">
        <f>33.1445* CHOOSE(CONTROL!$C$23, $C$13, 100%, $E$13)</f>
        <v>33.144500000000001</v>
      </c>
      <c r="I930" s="67">
        <f>33.1492 * CHOOSE(CONTROL!$C$23, $C$13, 100%, $E$13)</f>
        <v>33.1492</v>
      </c>
      <c r="J930" s="67">
        <f>17.4747 * CHOOSE(CONTROL!$C$23, $C$13, 100%, $E$13)</f>
        <v>17.474699999999999</v>
      </c>
      <c r="K930" s="67">
        <f>17.4795 * CHOOSE(CONTROL!$C$23, $C$13, 100%, $E$13)</f>
        <v>17.479500000000002</v>
      </c>
    </row>
    <row r="931" spans="1:11" ht="15">
      <c r="A931" s="13">
        <v>69458</v>
      </c>
      <c r="B931" s="66">
        <f>15.7217 * CHOOSE(CONTROL!$C$23, $C$13, 100%, $E$13)</f>
        <v>15.7217</v>
      </c>
      <c r="C931" s="66">
        <f>15.7217 * CHOOSE(CONTROL!$C$23, $C$13, 100%, $E$13)</f>
        <v>15.7217</v>
      </c>
      <c r="D931" s="66">
        <f>15.7255 * CHOOSE(CONTROL!$C$23, $C$13, 100%, $E$13)</f>
        <v>15.7255</v>
      </c>
      <c r="E931" s="67">
        <f>17.7242 * CHOOSE(CONTROL!$C$23, $C$13, 100%, $E$13)</f>
        <v>17.7242</v>
      </c>
      <c r="F931" s="67">
        <f>17.7242 * CHOOSE(CONTROL!$C$23, $C$13, 100%, $E$13)</f>
        <v>17.7242</v>
      </c>
      <c r="G931" s="67">
        <f>17.729 * CHOOSE(CONTROL!$C$23, $C$13, 100%, $E$13)</f>
        <v>17.728999999999999</v>
      </c>
      <c r="H931" s="67">
        <f>33.2135* CHOOSE(CONTROL!$C$23, $C$13, 100%, $E$13)</f>
        <v>33.213500000000003</v>
      </c>
      <c r="I931" s="67">
        <f>33.2183 * CHOOSE(CONTROL!$C$23, $C$13, 100%, $E$13)</f>
        <v>33.218299999999999</v>
      </c>
      <c r="J931" s="67">
        <f>17.7242 * CHOOSE(CONTROL!$C$23, $C$13, 100%, $E$13)</f>
        <v>17.7242</v>
      </c>
      <c r="K931" s="67">
        <f>17.729 * CHOOSE(CONTROL!$C$23, $C$13, 100%, $E$13)</f>
        <v>17.728999999999999</v>
      </c>
    </row>
    <row r="932" spans="1:11" ht="15">
      <c r="A932" s="13">
        <v>69489</v>
      </c>
      <c r="B932" s="66">
        <f>15.7291 * CHOOSE(CONTROL!$C$23, $C$13, 100%, $E$13)</f>
        <v>15.729100000000001</v>
      </c>
      <c r="C932" s="66">
        <f>15.7291 * CHOOSE(CONTROL!$C$23, $C$13, 100%, $E$13)</f>
        <v>15.729100000000001</v>
      </c>
      <c r="D932" s="66">
        <f>15.733 * CHOOSE(CONTROL!$C$23, $C$13, 100%, $E$13)</f>
        <v>15.733000000000001</v>
      </c>
      <c r="E932" s="67">
        <f>17.9902 * CHOOSE(CONTROL!$C$23, $C$13, 100%, $E$13)</f>
        <v>17.990200000000002</v>
      </c>
      <c r="F932" s="67">
        <f>17.9902 * CHOOSE(CONTROL!$C$23, $C$13, 100%, $E$13)</f>
        <v>17.990200000000002</v>
      </c>
      <c r="G932" s="67">
        <f>17.995 * CHOOSE(CONTROL!$C$23, $C$13, 100%, $E$13)</f>
        <v>17.995000000000001</v>
      </c>
      <c r="H932" s="67">
        <f>33.2827* CHOOSE(CONTROL!$C$23, $C$13, 100%, $E$13)</f>
        <v>33.282699999999998</v>
      </c>
      <c r="I932" s="67">
        <f>33.2875 * CHOOSE(CONTROL!$C$23, $C$13, 100%, $E$13)</f>
        <v>33.287500000000001</v>
      </c>
      <c r="J932" s="67">
        <f>17.9902 * CHOOSE(CONTROL!$C$23, $C$13, 100%, $E$13)</f>
        <v>17.990200000000002</v>
      </c>
      <c r="K932" s="67">
        <f>17.995 * CHOOSE(CONTROL!$C$23, $C$13, 100%, $E$13)</f>
        <v>17.995000000000001</v>
      </c>
    </row>
    <row r="933" spans="1:11" ht="15">
      <c r="A933" s="13">
        <v>69519</v>
      </c>
      <c r="B933" s="66">
        <f>15.7291 * CHOOSE(CONTROL!$C$23, $C$13, 100%, $E$13)</f>
        <v>15.729100000000001</v>
      </c>
      <c r="C933" s="66">
        <f>15.7291 * CHOOSE(CONTROL!$C$23, $C$13, 100%, $E$13)</f>
        <v>15.729100000000001</v>
      </c>
      <c r="D933" s="66">
        <f>15.7346 * CHOOSE(CONTROL!$C$23, $C$13, 100%, $E$13)</f>
        <v>15.7346</v>
      </c>
      <c r="E933" s="67">
        <f>18.0916 * CHOOSE(CONTROL!$C$23, $C$13, 100%, $E$13)</f>
        <v>18.0916</v>
      </c>
      <c r="F933" s="67">
        <f>18.0916 * CHOOSE(CONTROL!$C$23, $C$13, 100%, $E$13)</f>
        <v>18.0916</v>
      </c>
      <c r="G933" s="67">
        <f>18.0983 * CHOOSE(CONTROL!$C$23, $C$13, 100%, $E$13)</f>
        <v>18.098299999999998</v>
      </c>
      <c r="H933" s="67">
        <f>33.3521* CHOOSE(CONTROL!$C$23, $C$13, 100%, $E$13)</f>
        <v>33.3521</v>
      </c>
      <c r="I933" s="67">
        <f>33.3588 * CHOOSE(CONTROL!$C$23, $C$13, 100%, $E$13)</f>
        <v>33.358800000000002</v>
      </c>
      <c r="J933" s="67">
        <f>18.0916 * CHOOSE(CONTROL!$C$23, $C$13, 100%, $E$13)</f>
        <v>18.0916</v>
      </c>
      <c r="K933" s="67">
        <f>18.0983 * CHOOSE(CONTROL!$C$23, $C$13, 100%, $E$13)</f>
        <v>18.098299999999998</v>
      </c>
    </row>
    <row r="934" spans="1:11" ht="15">
      <c r="A934" s="13">
        <v>69550</v>
      </c>
      <c r="B934" s="66">
        <f>15.7352 * CHOOSE(CONTROL!$C$23, $C$13, 100%, $E$13)</f>
        <v>15.735200000000001</v>
      </c>
      <c r="C934" s="66">
        <f>15.7352 * CHOOSE(CONTROL!$C$23, $C$13, 100%, $E$13)</f>
        <v>15.735200000000001</v>
      </c>
      <c r="D934" s="66">
        <f>15.7407 * CHOOSE(CONTROL!$C$23, $C$13, 100%, $E$13)</f>
        <v>15.7407</v>
      </c>
      <c r="E934" s="67">
        <f>17.9945 * CHOOSE(CONTROL!$C$23, $C$13, 100%, $E$13)</f>
        <v>17.994499999999999</v>
      </c>
      <c r="F934" s="67">
        <f>17.9945 * CHOOSE(CONTROL!$C$23, $C$13, 100%, $E$13)</f>
        <v>17.994499999999999</v>
      </c>
      <c r="G934" s="67">
        <f>18.0012 * CHOOSE(CONTROL!$C$23, $C$13, 100%, $E$13)</f>
        <v>18.001200000000001</v>
      </c>
      <c r="H934" s="67">
        <f>33.4215* CHOOSE(CONTROL!$C$23, $C$13, 100%, $E$13)</f>
        <v>33.421500000000002</v>
      </c>
      <c r="I934" s="67">
        <f>33.4283 * CHOOSE(CONTROL!$C$23, $C$13, 100%, $E$13)</f>
        <v>33.4283</v>
      </c>
      <c r="J934" s="67">
        <f>17.9945 * CHOOSE(CONTROL!$C$23, $C$13, 100%, $E$13)</f>
        <v>17.994499999999999</v>
      </c>
      <c r="K934" s="67">
        <f>18.0012 * CHOOSE(CONTROL!$C$23, $C$13, 100%, $E$13)</f>
        <v>18.001200000000001</v>
      </c>
    </row>
    <row r="935" spans="1:11" ht="15">
      <c r="A935" s="13">
        <v>69580</v>
      </c>
      <c r="B935" s="66">
        <f>15.9727 * CHOOSE(CONTROL!$C$23, $C$13, 100%, $E$13)</f>
        <v>15.9727</v>
      </c>
      <c r="C935" s="66">
        <f>15.9727 * CHOOSE(CONTROL!$C$23, $C$13, 100%, $E$13)</f>
        <v>15.9727</v>
      </c>
      <c r="D935" s="66">
        <f>15.9782 * CHOOSE(CONTROL!$C$23, $C$13, 100%, $E$13)</f>
        <v>15.978199999999999</v>
      </c>
      <c r="E935" s="67">
        <f>18.2793 * CHOOSE(CONTROL!$C$23, $C$13, 100%, $E$13)</f>
        <v>18.279299999999999</v>
      </c>
      <c r="F935" s="67">
        <f>18.2793 * CHOOSE(CONTROL!$C$23, $C$13, 100%, $E$13)</f>
        <v>18.279299999999999</v>
      </c>
      <c r="G935" s="67">
        <f>18.286 * CHOOSE(CONTROL!$C$23, $C$13, 100%, $E$13)</f>
        <v>18.286000000000001</v>
      </c>
      <c r="H935" s="67">
        <f>33.4912* CHOOSE(CONTROL!$C$23, $C$13, 100%, $E$13)</f>
        <v>33.491199999999999</v>
      </c>
      <c r="I935" s="67">
        <f>33.4979 * CHOOSE(CONTROL!$C$23, $C$13, 100%, $E$13)</f>
        <v>33.497900000000001</v>
      </c>
      <c r="J935" s="67">
        <f>18.2793 * CHOOSE(CONTROL!$C$23, $C$13, 100%, $E$13)</f>
        <v>18.279299999999999</v>
      </c>
      <c r="K935" s="67">
        <f>18.286 * CHOOSE(CONTROL!$C$23, $C$13, 100%, $E$13)</f>
        <v>18.286000000000001</v>
      </c>
    </row>
    <row r="936" spans="1:11" ht="15">
      <c r="A936" s="13">
        <v>69611</v>
      </c>
      <c r="B936" s="66">
        <f>15.9794 * CHOOSE(CONTROL!$C$23, $C$13, 100%, $E$13)</f>
        <v>15.9794</v>
      </c>
      <c r="C936" s="66">
        <f>15.9794 * CHOOSE(CONTROL!$C$23, $C$13, 100%, $E$13)</f>
        <v>15.9794</v>
      </c>
      <c r="D936" s="66">
        <f>15.9849 * CHOOSE(CONTROL!$C$23, $C$13, 100%, $E$13)</f>
        <v>15.9849</v>
      </c>
      <c r="E936" s="67">
        <f>17.98 * CHOOSE(CONTROL!$C$23, $C$13, 100%, $E$13)</f>
        <v>17.98</v>
      </c>
      <c r="F936" s="67">
        <f>17.98 * CHOOSE(CONTROL!$C$23, $C$13, 100%, $E$13)</f>
        <v>17.98</v>
      </c>
      <c r="G936" s="67">
        <f>17.9867 * CHOOSE(CONTROL!$C$23, $C$13, 100%, $E$13)</f>
        <v>17.986699999999999</v>
      </c>
      <c r="H936" s="67">
        <f>33.5609* CHOOSE(CONTROL!$C$23, $C$13, 100%, $E$13)</f>
        <v>33.560899999999997</v>
      </c>
      <c r="I936" s="67">
        <f>33.5677 * CHOOSE(CONTROL!$C$23, $C$13, 100%, $E$13)</f>
        <v>33.567700000000002</v>
      </c>
      <c r="J936" s="67">
        <f>17.98 * CHOOSE(CONTROL!$C$23, $C$13, 100%, $E$13)</f>
        <v>17.98</v>
      </c>
      <c r="K936" s="67">
        <f>17.9867 * CHOOSE(CONTROL!$C$23, $C$13, 100%, $E$13)</f>
        <v>17.986699999999999</v>
      </c>
    </row>
    <row r="937" spans="1:11" ht="15">
      <c r="A937" s="13">
        <v>69642</v>
      </c>
      <c r="B937" s="66">
        <f>15.9763 * CHOOSE(CONTROL!$C$23, $C$13, 100%, $E$13)</f>
        <v>15.9763</v>
      </c>
      <c r="C937" s="66">
        <f>15.9763 * CHOOSE(CONTROL!$C$23, $C$13, 100%, $E$13)</f>
        <v>15.9763</v>
      </c>
      <c r="D937" s="66">
        <f>15.9818 * CHOOSE(CONTROL!$C$23, $C$13, 100%, $E$13)</f>
        <v>15.9818</v>
      </c>
      <c r="E937" s="67">
        <f>17.9441 * CHOOSE(CONTROL!$C$23, $C$13, 100%, $E$13)</f>
        <v>17.944099999999999</v>
      </c>
      <c r="F937" s="67">
        <f>17.9441 * CHOOSE(CONTROL!$C$23, $C$13, 100%, $E$13)</f>
        <v>17.944099999999999</v>
      </c>
      <c r="G937" s="67">
        <f>17.9508 * CHOOSE(CONTROL!$C$23, $C$13, 100%, $E$13)</f>
        <v>17.950800000000001</v>
      </c>
      <c r="H937" s="67">
        <f>33.6309* CHOOSE(CONTROL!$C$23, $C$13, 100%, $E$13)</f>
        <v>33.630899999999997</v>
      </c>
      <c r="I937" s="67">
        <f>33.6376 * CHOOSE(CONTROL!$C$23, $C$13, 100%, $E$13)</f>
        <v>33.637599999999999</v>
      </c>
      <c r="J937" s="67">
        <f>17.9441 * CHOOSE(CONTROL!$C$23, $C$13, 100%, $E$13)</f>
        <v>17.944099999999999</v>
      </c>
      <c r="K937" s="67">
        <f>17.9508 * CHOOSE(CONTROL!$C$23, $C$13, 100%, $E$13)</f>
        <v>17.950800000000001</v>
      </c>
    </row>
    <row r="938" spans="1:11" ht="15">
      <c r="A938" s="13">
        <v>69672</v>
      </c>
      <c r="B938" s="66">
        <f>16.0099 * CHOOSE(CONTROL!$C$23, $C$13, 100%, $E$13)</f>
        <v>16.009899999999998</v>
      </c>
      <c r="C938" s="66">
        <f>16.0099 * CHOOSE(CONTROL!$C$23, $C$13, 100%, $E$13)</f>
        <v>16.009899999999998</v>
      </c>
      <c r="D938" s="66">
        <f>16.0137 * CHOOSE(CONTROL!$C$23, $C$13, 100%, $E$13)</f>
        <v>16.0137</v>
      </c>
      <c r="E938" s="67">
        <f>18.0658 * CHOOSE(CONTROL!$C$23, $C$13, 100%, $E$13)</f>
        <v>18.065799999999999</v>
      </c>
      <c r="F938" s="67">
        <f>18.0658 * CHOOSE(CONTROL!$C$23, $C$13, 100%, $E$13)</f>
        <v>18.065799999999999</v>
      </c>
      <c r="G938" s="67">
        <f>18.0705 * CHOOSE(CONTROL!$C$23, $C$13, 100%, $E$13)</f>
        <v>18.070499999999999</v>
      </c>
      <c r="H938" s="67">
        <f>33.7009* CHOOSE(CONTROL!$C$23, $C$13, 100%, $E$13)</f>
        <v>33.700899999999997</v>
      </c>
      <c r="I938" s="67">
        <f>33.7057 * CHOOSE(CONTROL!$C$23, $C$13, 100%, $E$13)</f>
        <v>33.7057</v>
      </c>
      <c r="J938" s="67">
        <f>18.0658 * CHOOSE(CONTROL!$C$23, $C$13, 100%, $E$13)</f>
        <v>18.065799999999999</v>
      </c>
      <c r="K938" s="67">
        <f>18.0705 * CHOOSE(CONTROL!$C$23, $C$13, 100%, $E$13)</f>
        <v>18.070499999999999</v>
      </c>
    </row>
    <row r="939" spans="1:11" ht="15">
      <c r="A939" s="13">
        <v>69703</v>
      </c>
      <c r="B939" s="66">
        <f>16.0129 * CHOOSE(CONTROL!$C$23, $C$13, 100%, $E$13)</f>
        <v>16.012899999999998</v>
      </c>
      <c r="C939" s="66">
        <f>16.0129 * CHOOSE(CONTROL!$C$23, $C$13, 100%, $E$13)</f>
        <v>16.012899999999998</v>
      </c>
      <c r="D939" s="66">
        <f>16.0168 * CHOOSE(CONTROL!$C$23, $C$13, 100%, $E$13)</f>
        <v>16.0168</v>
      </c>
      <c r="E939" s="67">
        <f>18.1354 * CHOOSE(CONTROL!$C$23, $C$13, 100%, $E$13)</f>
        <v>18.135400000000001</v>
      </c>
      <c r="F939" s="67">
        <f>18.1354 * CHOOSE(CONTROL!$C$23, $C$13, 100%, $E$13)</f>
        <v>18.135400000000001</v>
      </c>
      <c r="G939" s="67">
        <f>18.1402 * CHOOSE(CONTROL!$C$23, $C$13, 100%, $E$13)</f>
        <v>18.1402</v>
      </c>
      <c r="H939" s="67">
        <f>33.7711* CHOOSE(CONTROL!$C$23, $C$13, 100%, $E$13)</f>
        <v>33.771099999999997</v>
      </c>
      <c r="I939" s="67">
        <f>33.7759 * CHOOSE(CONTROL!$C$23, $C$13, 100%, $E$13)</f>
        <v>33.7759</v>
      </c>
      <c r="J939" s="67">
        <f>18.1354 * CHOOSE(CONTROL!$C$23, $C$13, 100%, $E$13)</f>
        <v>18.135400000000001</v>
      </c>
      <c r="K939" s="67">
        <f>18.1402 * CHOOSE(CONTROL!$C$23, $C$13, 100%, $E$13)</f>
        <v>18.1402</v>
      </c>
    </row>
    <row r="940" spans="1:11" ht="15">
      <c r="A940" s="13">
        <v>69733</v>
      </c>
      <c r="B940" s="66">
        <f>16.0129 * CHOOSE(CONTROL!$C$23, $C$13, 100%, $E$13)</f>
        <v>16.012899999999998</v>
      </c>
      <c r="C940" s="66">
        <f>16.0129 * CHOOSE(CONTROL!$C$23, $C$13, 100%, $E$13)</f>
        <v>16.012899999999998</v>
      </c>
      <c r="D940" s="66">
        <f>16.0168 * CHOOSE(CONTROL!$C$23, $C$13, 100%, $E$13)</f>
        <v>16.0168</v>
      </c>
      <c r="E940" s="67">
        <f>17.9666 * CHOOSE(CONTROL!$C$23, $C$13, 100%, $E$13)</f>
        <v>17.9666</v>
      </c>
      <c r="F940" s="67">
        <f>17.9666 * CHOOSE(CONTROL!$C$23, $C$13, 100%, $E$13)</f>
        <v>17.9666</v>
      </c>
      <c r="G940" s="67">
        <f>17.9713 * CHOOSE(CONTROL!$C$23, $C$13, 100%, $E$13)</f>
        <v>17.971299999999999</v>
      </c>
      <c r="H940" s="67">
        <f>33.8415* CHOOSE(CONTROL!$C$23, $C$13, 100%, $E$13)</f>
        <v>33.841500000000003</v>
      </c>
      <c r="I940" s="67">
        <f>33.8463 * CHOOSE(CONTROL!$C$23, $C$13, 100%, $E$13)</f>
        <v>33.846299999999999</v>
      </c>
      <c r="J940" s="67">
        <f>17.9666 * CHOOSE(CONTROL!$C$23, $C$13, 100%, $E$13)</f>
        <v>17.9666</v>
      </c>
      <c r="K940" s="67">
        <f>17.9713 * CHOOSE(CONTROL!$C$23, $C$13, 100%, $E$13)</f>
        <v>17.971299999999999</v>
      </c>
    </row>
    <row r="941" spans="1:11" ht="15">
      <c r="A941" s="13">
        <v>69764</v>
      </c>
      <c r="B941" s="66">
        <f>15.9633 * CHOOSE(CONTROL!$C$23, $C$13, 100%, $E$13)</f>
        <v>15.9633</v>
      </c>
      <c r="C941" s="66">
        <f>15.9633 * CHOOSE(CONTROL!$C$23, $C$13, 100%, $E$13)</f>
        <v>15.9633</v>
      </c>
      <c r="D941" s="66">
        <f>15.9672 * CHOOSE(CONTROL!$C$23, $C$13, 100%, $E$13)</f>
        <v>15.9672</v>
      </c>
      <c r="E941" s="67">
        <f>18.0508 * CHOOSE(CONTROL!$C$23, $C$13, 100%, $E$13)</f>
        <v>18.050799999999999</v>
      </c>
      <c r="F941" s="67">
        <f>18.0508 * CHOOSE(CONTROL!$C$23, $C$13, 100%, $E$13)</f>
        <v>18.050799999999999</v>
      </c>
      <c r="G941" s="67">
        <f>18.0555 * CHOOSE(CONTROL!$C$23, $C$13, 100%, $E$13)</f>
        <v>18.055499999999999</v>
      </c>
      <c r="H941" s="67">
        <f>33.5581* CHOOSE(CONTROL!$C$23, $C$13, 100%, $E$13)</f>
        <v>33.558100000000003</v>
      </c>
      <c r="I941" s="67">
        <f>33.5629 * CHOOSE(CONTROL!$C$23, $C$13, 100%, $E$13)</f>
        <v>33.562899999999999</v>
      </c>
      <c r="J941" s="67">
        <f>18.0508 * CHOOSE(CONTROL!$C$23, $C$13, 100%, $E$13)</f>
        <v>18.050799999999999</v>
      </c>
      <c r="K941" s="67">
        <f>18.0555 * CHOOSE(CONTROL!$C$23, $C$13, 100%, $E$13)</f>
        <v>18.055499999999999</v>
      </c>
    </row>
    <row r="942" spans="1:11" ht="15">
      <c r="A942" s="13">
        <v>69795</v>
      </c>
      <c r="B942" s="66">
        <f>15.9603 * CHOOSE(CONTROL!$C$23, $C$13, 100%, $E$13)</f>
        <v>15.9603</v>
      </c>
      <c r="C942" s="66">
        <f>15.9603 * CHOOSE(CONTROL!$C$23, $C$13, 100%, $E$13)</f>
        <v>15.9603</v>
      </c>
      <c r="D942" s="66">
        <f>15.9641 * CHOOSE(CONTROL!$C$23, $C$13, 100%, $E$13)</f>
        <v>15.9641</v>
      </c>
      <c r="E942" s="67">
        <f>17.7245 * CHOOSE(CONTROL!$C$23, $C$13, 100%, $E$13)</f>
        <v>17.724499999999999</v>
      </c>
      <c r="F942" s="67">
        <f>17.7245 * CHOOSE(CONTROL!$C$23, $C$13, 100%, $E$13)</f>
        <v>17.724499999999999</v>
      </c>
      <c r="G942" s="67">
        <f>17.7293 * CHOOSE(CONTROL!$C$23, $C$13, 100%, $E$13)</f>
        <v>17.729299999999999</v>
      </c>
      <c r="H942" s="67">
        <f>33.628* CHOOSE(CONTROL!$C$23, $C$13, 100%, $E$13)</f>
        <v>33.628</v>
      </c>
      <c r="I942" s="67">
        <f>33.6328 * CHOOSE(CONTROL!$C$23, $C$13, 100%, $E$13)</f>
        <v>33.632800000000003</v>
      </c>
      <c r="J942" s="67">
        <f>17.7245 * CHOOSE(CONTROL!$C$23, $C$13, 100%, $E$13)</f>
        <v>17.724499999999999</v>
      </c>
      <c r="K942" s="67">
        <f>17.7293 * CHOOSE(CONTROL!$C$23, $C$13, 100%, $E$13)</f>
        <v>17.729299999999999</v>
      </c>
    </row>
    <row r="943" spans="1:11" ht="15">
      <c r="A943" s="13">
        <v>69823</v>
      </c>
      <c r="B943" s="66">
        <f>15.9572 * CHOOSE(CONTROL!$C$23, $C$13, 100%, $E$13)</f>
        <v>15.9572</v>
      </c>
      <c r="C943" s="66">
        <f>15.9572 * CHOOSE(CONTROL!$C$23, $C$13, 100%, $E$13)</f>
        <v>15.9572</v>
      </c>
      <c r="D943" s="66">
        <f>15.9611 * CHOOSE(CONTROL!$C$23, $C$13, 100%, $E$13)</f>
        <v>15.9611</v>
      </c>
      <c r="E943" s="67">
        <f>17.9779 * CHOOSE(CONTROL!$C$23, $C$13, 100%, $E$13)</f>
        <v>17.977900000000002</v>
      </c>
      <c r="F943" s="67">
        <f>17.9779 * CHOOSE(CONTROL!$C$23, $C$13, 100%, $E$13)</f>
        <v>17.977900000000002</v>
      </c>
      <c r="G943" s="67">
        <f>17.9827 * CHOOSE(CONTROL!$C$23, $C$13, 100%, $E$13)</f>
        <v>17.982700000000001</v>
      </c>
      <c r="H943" s="67">
        <f>33.6981* CHOOSE(CONTROL!$C$23, $C$13, 100%, $E$13)</f>
        <v>33.698099999999997</v>
      </c>
      <c r="I943" s="67">
        <f>33.7029 * CHOOSE(CONTROL!$C$23, $C$13, 100%, $E$13)</f>
        <v>33.7029</v>
      </c>
      <c r="J943" s="67">
        <f>17.9779 * CHOOSE(CONTROL!$C$23, $C$13, 100%, $E$13)</f>
        <v>17.977900000000002</v>
      </c>
      <c r="K943" s="67">
        <f>17.9827 * CHOOSE(CONTROL!$C$23, $C$13, 100%, $E$13)</f>
        <v>17.982700000000001</v>
      </c>
    </row>
    <row r="944" spans="1:11" ht="15">
      <c r="A944" s="13">
        <v>69854</v>
      </c>
      <c r="B944" s="66">
        <f>15.9649 * CHOOSE(CONTROL!$C$23, $C$13, 100%, $E$13)</f>
        <v>15.9649</v>
      </c>
      <c r="C944" s="66">
        <f>15.9649 * CHOOSE(CONTROL!$C$23, $C$13, 100%, $E$13)</f>
        <v>15.9649</v>
      </c>
      <c r="D944" s="66">
        <f>15.9687 * CHOOSE(CONTROL!$C$23, $C$13, 100%, $E$13)</f>
        <v>15.9687</v>
      </c>
      <c r="E944" s="67">
        <f>18.2481 * CHOOSE(CONTROL!$C$23, $C$13, 100%, $E$13)</f>
        <v>18.248100000000001</v>
      </c>
      <c r="F944" s="67">
        <f>18.2481 * CHOOSE(CONTROL!$C$23, $C$13, 100%, $E$13)</f>
        <v>18.248100000000001</v>
      </c>
      <c r="G944" s="67">
        <f>18.2529 * CHOOSE(CONTROL!$C$23, $C$13, 100%, $E$13)</f>
        <v>18.2529</v>
      </c>
      <c r="H944" s="67">
        <f>33.7683* CHOOSE(CONTROL!$C$23, $C$13, 100%, $E$13)</f>
        <v>33.768300000000004</v>
      </c>
      <c r="I944" s="67">
        <f>33.7731 * CHOOSE(CONTROL!$C$23, $C$13, 100%, $E$13)</f>
        <v>33.773099999999999</v>
      </c>
      <c r="J944" s="67">
        <f>18.2481 * CHOOSE(CONTROL!$C$23, $C$13, 100%, $E$13)</f>
        <v>18.248100000000001</v>
      </c>
      <c r="K944" s="67">
        <f>18.2529 * CHOOSE(CONTROL!$C$23, $C$13, 100%, $E$13)</f>
        <v>18.2529</v>
      </c>
    </row>
    <row r="945" spans="1:11" ht="15">
      <c r="A945" s="13">
        <v>69884</v>
      </c>
      <c r="B945" s="66">
        <f>15.9649 * CHOOSE(CONTROL!$C$23, $C$13, 100%, $E$13)</f>
        <v>15.9649</v>
      </c>
      <c r="C945" s="66">
        <f>15.9649 * CHOOSE(CONTROL!$C$23, $C$13, 100%, $E$13)</f>
        <v>15.9649</v>
      </c>
      <c r="D945" s="66">
        <f>15.9704 * CHOOSE(CONTROL!$C$23, $C$13, 100%, $E$13)</f>
        <v>15.9704</v>
      </c>
      <c r="E945" s="67">
        <f>18.351 * CHOOSE(CONTROL!$C$23, $C$13, 100%, $E$13)</f>
        <v>18.350999999999999</v>
      </c>
      <c r="F945" s="67">
        <f>18.351 * CHOOSE(CONTROL!$C$23, $C$13, 100%, $E$13)</f>
        <v>18.350999999999999</v>
      </c>
      <c r="G945" s="67">
        <f>18.3577 * CHOOSE(CONTROL!$C$23, $C$13, 100%, $E$13)</f>
        <v>18.357700000000001</v>
      </c>
      <c r="H945" s="67">
        <f>33.8386* CHOOSE(CONTROL!$C$23, $C$13, 100%, $E$13)</f>
        <v>33.8386</v>
      </c>
      <c r="I945" s="67">
        <f>33.8454 * CHOOSE(CONTROL!$C$23, $C$13, 100%, $E$13)</f>
        <v>33.845399999999998</v>
      </c>
      <c r="J945" s="67">
        <f>18.351 * CHOOSE(CONTROL!$C$23, $C$13, 100%, $E$13)</f>
        <v>18.350999999999999</v>
      </c>
      <c r="K945" s="67">
        <f>18.3577 * CHOOSE(CONTROL!$C$23, $C$13, 100%, $E$13)</f>
        <v>18.357700000000001</v>
      </c>
    </row>
    <row r="946" spans="1:11" ht="15">
      <c r="A946" s="13">
        <v>69915</v>
      </c>
      <c r="B946" s="66">
        <f>15.971 * CHOOSE(CONTROL!$C$23, $C$13, 100%, $E$13)</f>
        <v>15.971</v>
      </c>
      <c r="C946" s="66">
        <f>15.971 * CHOOSE(CONTROL!$C$23, $C$13, 100%, $E$13)</f>
        <v>15.971</v>
      </c>
      <c r="D946" s="66">
        <f>15.9765 * CHOOSE(CONTROL!$C$23, $C$13, 100%, $E$13)</f>
        <v>15.9765</v>
      </c>
      <c r="E946" s="67">
        <f>18.2523 * CHOOSE(CONTROL!$C$23, $C$13, 100%, $E$13)</f>
        <v>18.252300000000002</v>
      </c>
      <c r="F946" s="67">
        <f>18.2523 * CHOOSE(CONTROL!$C$23, $C$13, 100%, $E$13)</f>
        <v>18.252300000000002</v>
      </c>
      <c r="G946" s="67">
        <f>18.2591 * CHOOSE(CONTROL!$C$23, $C$13, 100%, $E$13)</f>
        <v>18.2591</v>
      </c>
      <c r="H946" s="67">
        <f>33.9091* CHOOSE(CONTROL!$C$23, $C$13, 100%, $E$13)</f>
        <v>33.909100000000002</v>
      </c>
      <c r="I946" s="67">
        <f>33.9159 * CHOOSE(CONTROL!$C$23, $C$13, 100%, $E$13)</f>
        <v>33.915900000000001</v>
      </c>
      <c r="J946" s="67">
        <f>18.2523 * CHOOSE(CONTROL!$C$23, $C$13, 100%, $E$13)</f>
        <v>18.252300000000002</v>
      </c>
      <c r="K946" s="67">
        <f>18.2591 * CHOOSE(CONTROL!$C$23, $C$13, 100%, $E$13)</f>
        <v>18.2591</v>
      </c>
    </row>
    <row r="947" spans="1:11" ht="15">
      <c r="A947" s="13">
        <v>69945</v>
      </c>
      <c r="B947" s="66">
        <f>16.2119 * CHOOSE(CONTROL!$C$23, $C$13, 100%, $E$13)</f>
        <v>16.2119</v>
      </c>
      <c r="C947" s="66">
        <f>16.2119 * CHOOSE(CONTROL!$C$23, $C$13, 100%, $E$13)</f>
        <v>16.2119</v>
      </c>
      <c r="D947" s="66">
        <f>16.2174 * CHOOSE(CONTROL!$C$23, $C$13, 100%, $E$13)</f>
        <v>16.217400000000001</v>
      </c>
      <c r="E947" s="67">
        <f>18.5411 * CHOOSE(CONTROL!$C$23, $C$13, 100%, $E$13)</f>
        <v>18.5411</v>
      </c>
      <c r="F947" s="67">
        <f>18.5411 * CHOOSE(CONTROL!$C$23, $C$13, 100%, $E$13)</f>
        <v>18.5411</v>
      </c>
      <c r="G947" s="67">
        <f>18.5478 * CHOOSE(CONTROL!$C$23, $C$13, 100%, $E$13)</f>
        <v>18.547799999999999</v>
      </c>
      <c r="H947" s="67">
        <f>33.9798* CHOOSE(CONTROL!$C$23, $C$13, 100%, $E$13)</f>
        <v>33.979799999999997</v>
      </c>
      <c r="I947" s="67">
        <f>33.9865 * CHOOSE(CONTROL!$C$23, $C$13, 100%, $E$13)</f>
        <v>33.986499999999999</v>
      </c>
      <c r="J947" s="67">
        <f>18.5411 * CHOOSE(CONTROL!$C$23, $C$13, 100%, $E$13)</f>
        <v>18.5411</v>
      </c>
      <c r="K947" s="67">
        <f>18.5478 * CHOOSE(CONTROL!$C$23, $C$13, 100%, $E$13)</f>
        <v>18.547799999999999</v>
      </c>
    </row>
    <row r="948" spans="1:11" ht="15">
      <c r="A948" s="13">
        <v>69976</v>
      </c>
      <c r="B948" s="66">
        <f>16.2185 * CHOOSE(CONTROL!$C$23, $C$13, 100%, $E$13)</f>
        <v>16.218499999999999</v>
      </c>
      <c r="C948" s="66">
        <f>16.2185 * CHOOSE(CONTROL!$C$23, $C$13, 100%, $E$13)</f>
        <v>16.218499999999999</v>
      </c>
      <c r="D948" s="66">
        <f>16.224 * CHOOSE(CONTROL!$C$23, $C$13, 100%, $E$13)</f>
        <v>16.224</v>
      </c>
      <c r="E948" s="67">
        <f>18.237 * CHOOSE(CONTROL!$C$23, $C$13, 100%, $E$13)</f>
        <v>18.236999999999998</v>
      </c>
      <c r="F948" s="67">
        <f>18.237 * CHOOSE(CONTROL!$C$23, $C$13, 100%, $E$13)</f>
        <v>18.236999999999998</v>
      </c>
      <c r="G948" s="67">
        <f>18.2438 * CHOOSE(CONTROL!$C$23, $C$13, 100%, $E$13)</f>
        <v>18.2438</v>
      </c>
      <c r="H948" s="67">
        <f>34.0506* CHOOSE(CONTROL!$C$23, $C$13, 100%, $E$13)</f>
        <v>34.050600000000003</v>
      </c>
      <c r="I948" s="67">
        <f>34.0573 * CHOOSE(CONTROL!$C$23, $C$13, 100%, $E$13)</f>
        <v>34.057299999999998</v>
      </c>
      <c r="J948" s="67">
        <f>18.237 * CHOOSE(CONTROL!$C$23, $C$13, 100%, $E$13)</f>
        <v>18.236999999999998</v>
      </c>
      <c r="K948" s="67">
        <f>18.2438 * CHOOSE(CONTROL!$C$23, $C$13, 100%, $E$13)</f>
        <v>18.2438</v>
      </c>
    </row>
    <row r="949" spans="1:11" ht="15">
      <c r="A949" s="13">
        <v>70007</v>
      </c>
      <c r="B949" s="66">
        <f>16.2155 * CHOOSE(CONTROL!$C$23, $C$13, 100%, $E$13)</f>
        <v>16.215499999999999</v>
      </c>
      <c r="C949" s="66">
        <f>16.2155 * CHOOSE(CONTROL!$C$23, $C$13, 100%, $E$13)</f>
        <v>16.215499999999999</v>
      </c>
      <c r="D949" s="66">
        <f>16.221 * CHOOSE(CONTROL!$C$23, $C$13, 100%, $E$13)</f>
        <v>16.221</v>
      </c>
      <c r="E949" s="67">
        <f>18.2006 * CHOOSE(CONTROL!$C$23, $C$13, 100%, $E$13)</f>
        <v>18.200600000000001</v>
      </c>
      <c r="F949" s="67">
        <f>18.2006 * CHOOSE(CONTROL!$C$23, $C$13, 100%, $E$13)</f>
        <v>18.200600000000001</v>
      </c>
      <c r="G949" s="67">
        <f>18.2074 * CHOOSE(CONTROL!$C$23, $C$13, 100%, $E$13)</f>
        <v>18.2074</v>
      </c>
      <c r="H949" s="67">
        <f>34.1215* CHOOSE(CONTROL!$C$23, $C$13, 100%, $E$13)</f>
        <v>34.121499999999997</v>
      </c>
      <c r="I949" s="67">
        <f>34.1282 * CHOOSE(CONTROL!$C$23, $C$13, 100%, $E$13)</f>
        <v>34.1282</v>
      </c>
      <c r="J949" s="67">
        <f>18.2006 * CHOOSE(CONTROL!$C$23, $C$13, 100%, $E$13)</f>
        <v>18.200600000000001</v>
      </c>
      <c r="K949" s="67">
        <f>18.2074 * CHOOSE(CONTROL!$C$23, $C$13, 100%, $E$13)</f>
        <v>18.2074</v>
      </c>
    </row>
    <row r="950" spans="1:11" ht="15">
      <c r="A950" s="13">
        <v>70037</v>
      </c>
      <c r="B950" s="66">
        <f>16.2498 * CHOOSE(CONTROL!$C$23, $C$13, 100%, $E$13)</f>
        <v>16.2498</v>
      </c>
      <c r="C950" s="66">
        <f>16.2498 * CHOOSE(CONTROL!$C$23, $C$13, 100%, $E$13)</f>
        <v>16.2498</v>
      </c>
      <c r="D950" s="66">
        <f>16.2537 * CHOOSE(CONTROL!$C$23, $C$13, 100%, $E$13)</f>
        <v>16.253699999999998</v>
      </c>
      <c r="E950" s="67">
        <f>18.3244 * CHOOSE(CONTROL!$C$23, $C$13, 100%, $E$13)</f>
        <v>18.324400000000001</v>
      </c>
      <c r="F950" s="67">
        <f>18.3244 * CHOOSE(CONTROL!$C$23, $C$13, 100%, $E$13)</f>
        <v>18.324400000000001</v>
      </c>
      <c r="G950" s="67">
        <f>18.3292 * CHOOSE(CONTROL!$C$23, $C$13, 100%, $E$13)</f>
        <v>18.3292</v>
      </c>
      <c r="H950" s="67">
        <f>34.1926* CHOOSE(CONTROL!$C$23, $C$13, 100%, $E$13)</f>
        <v>34.192599999999999</v>
      </c>
      <c r="I950" s="67">
        <f>34.1974 * CHOOSE(CONTROL!$C$23, $C$13, 100%, $E$13)</f>
        <v>34.197400000000002</v>
      </c>
      <c r="J950" s="67">
        <f>18.3244 * CHOOSE(CONTROL!$C$23, $C$13, 100%, $E$13)</f>
        <v>18.324400000000001</v>
      </c>
      <c r="K950" s="67">
        <f>18.3292 * CHOOSE(CONTROL!$C$23, $C$13, 100%, $E$13)</f>
        <v>18.3292</v>
      </c>
    </row>
    <row r="951" spans="1:11" ht="15">
      <c r="A951" s="13">
        <v>70068</v>
      </c>
      <c r="B951" s="66">
        <f>16.2529 * CHOOSE(CONTROL!$C$23, $C$13, 100%, $E$13)</f>
        <v>16.2529</v>
      </c>
      <c r="C951" s="66">
        <f>16.2529 * CHOOSE(CONTROL!$C$23, $C$13, 100%, $E$13)</f>
        <v>16.2529</v>
      </c>
      <c r="D951" s="66">
        <f>16.2567 * CHOOSE(CONTROL!$C$23, $C$13, 100%, $E$13)</f>
        <v>16.256699999999999</v>
      </c>
      <c r="E951" s="67">
        <f>18.3951 * CHOOSE(CONTROL!$C$23, $C$13, 100%, $E$13)</f>
        <v>18.395099999999999</v>
      </c>
      <c r="F951" s="67">
        <f>18.3951 * CHOOSE(CONTROL!$C$23, $C$13, 100%, $E$13)</f>
        <v>18.395099999999999</v>
      </c>
      <c r="G951" s="67">
        <f>18.3999 * CHOOSE(CONTROL!$C$23, $C$13, 100%, $E$13)</f>
        <v>18.399899999999999</v>
      </c>
      <c r="H951" s="67">
        <f>34.2638* CHOOSE(CONTROL!$C$23, $C$13, 100%, $E$13)</f>
        <v>34.263800000000003</v>
      </c>
      <c r="I951" s="67">
        <f>34.2686 * CHOOSE(CONTROL!$C$23, $C$13, 100%, $E$13)</f>
        <v>34.268599999999999</v>
      </c>
      <c r="J951" s="67">
        <f>18.3951 * CHOOSE(CONTROL!$C$23, $C$13, 100%, $E$13)</f>
        <v>18.395099999999999</v>
      </c>
      <c r="K951" s="67">
        <f>18.3999 * CHOOSE(CONTROL!$C$23, $C$13, 100%, $E$13)</f>
        <v>18.399899999999999</v>
      </c>
    </row>
    <row r="952" spans="1:11" ht="15">
      <c r="A952" s="13">
        <v>70098</v>
      </c>
      <c r="B952" s="66">
        <f>16.2529 * CHOOSE(CONTROL!$C$23, $C$13, 100%, $E$13)</f>
        <v>16.2529</v>
      </c>
      <c r="C952" s="66">
        <f>16.2529 * CHOOSE(CONTROL!$C$23, $C$13, 100%, $E$13)</f>
        <v>16.2529</v>
      </c>
      <c r="D952" s="66">
        <f>16.2567 * CHOOSE(CONTROL!$C$23, $C$13, 100%, $E$13)</f>
        <v>16.256699999999999</v>
      </c>
      <c r="E952" s="67">
        <f>18.2236 * CHOOSE(CONTROL!$C$23, $C$13, 100%, $E$13)</f>
        <v>18.223600000000001</v>
      </c>
      <c r="F952" s="67">
        <f>18.2236 * CHOOSE(CONTROL!$C$23, $C$13, 100%, $E$13)</f>
        <v>18.223600000000001</v>
      </c>
      <c r="G952" s="67">
        <f>18.2284 * CHOOSE(CONTROL!$C$23, $C$13, 100%, $E$13)</f>
        <v>18.228400000000001</v>
      </c>
      <c r="H952" s="67">
        <f>34.3352* CHOOSE(CONTROL!$C$23, $C$13, 100%, $E$13)</f>
        <v>34.3352</v>
      </c>
      <c r="I952" s="67">
        <f>34.34 * CHOOSE(CONTROL!$C$23, $C$13, 100%, $E$13)</f>
        <v>34.340000000000003</v>
      </c>
      <c r="J952" s="67">
        <f>18.2236 * CHOOSE(CONTROL!$C$23, $C$13, 100%, $E$13)</f>
        <v>18.223600000000001</v>
      </c>
      <c r="K952" s="67">
        <f>18.2284 * CHOOSE(CONTROL!$C$23, $C$13, 100%, $E$13)</f>
        <v>18.228400000000001</v>
      </c>
    </row>
    <row r="953" spans="1:11" ht="15">
      <c r="A953" s="13">
        <v>70129</v>
      </c>
      <c r="B953" s="66">
        <f>16.1989 * CHOOSE(CONTROL!$C$23, $C$13, 100%, $E$13)</f>
        <v>16.198899999999998</v>
      </c>
      <c r="C953" s="66">
        <f>16.1989 * CHOOSE(CONTROL!$C$23, $C$13, 100%, $E$13)</f>
        <v>16.198899999999998</v>
      </c>
      <c r="D953" s="66">
        <f>16.2027 * CHOOSE(CONTROL!$C$23, $C$13, 100%, $E$13)</f>
        <v>16.2027</v>
      </c>
      <c r="E953" s="67">
        <f>18.3055 * CHOOSE(CONTROL!$C$23, $C$13, 100%, $E$13)</f>
        <v>18.305499999999999</v>
      </c>
      <c r="F953" s="67">
        <f>18.3055 * CHOOSE(CONTROL!$C$23, $C$13, 100%, $E$13)</f>
        <v>18.305499999999999</v>
      </c>
      <c r="G953" s="67">
        <f>18.3103 * CHOOSE(CONTROL!$C$23, $C$13, 100%, $E$13)</f>
        <v>18.310300000000002</v>
      </c>
      <c r="H953" s="67">
        <f>34.0407* CHOOSE(CONTROL!$C$23, $C$13, 100%, $E$13)</f>
        <v>34.040700000000001</v>
      </c>
      <c r="I953" s="67">
        <f>34.0454 * CHOOSE(CONTROL!$C$23, $C$13, 100%, $E$13)</f>
        <v>34.045400000000001</v>
      </c>
      <c r="J953" s="67">
        <f>18.3055 * CHOOSE(CONTROL!$C$23, $C$13, 100%, $E$13)</f>
        <v>18.305499999999999</v>
      </c>
      <c r="K953" s="67">
        <f>18.3103 * CHOOSE(CONTROL!$C$23, $C$13, 100%, $E$13)</f>
        <v>18.310300000000002</v>
      </c>
    </row>
    <row r="954" spans="1:11" ht="15">
      <c r="A954" s="13">
        <v>70160</v>
      </c>
      <c r="B954" s="66">
        <f>16.1958 * CHOOSE(CONTROL!$C$23, $C$13, 100%, $E$13)</f>
        <v>16.195799999999998</v>
      </c>
      <c r="C954" s="66">
        <f>16.1958 * CHOOSE(CONTROL!$C$23, $C$13, 100%, $E$13)</f>
        <v>16.195799999999998</v>
      </c>
      <c r="D954" s="66">
        <f>16.1997 * CHOOSE(CONTROL!$C$23, $C$13, 100%, $E$13)</f>
        <v>16.1997</v>
      </c>
      <c r="E954" s="67">
        <f>17.9743 * CHOOSE(CONTROL!$C$23, $C$13, 100%, $E$13)</f>
        <v>17.974299999999999</v>
      </c>
      <c r="F954" s="67">
        <f>17.9743 * CHOOSE(CONTROL!$C$23, $C$13, 100%, $E$13)</f>
        <v>17.974299999999999</v>
      </c>
      <c r="G954" s="67">
        <f>17.9791 * CHOOSE(CONTROL!$C$23, $C$13, 100%, $E$13)</f>
        <v>17.979099999999999</v>
      </c>
      <c r="H954" s="67">
        <f>34.1116* CHOOSE(CONTROL!$C$23, $C$13, 100%, $E$13)</f>
        <v>34.111600000000003</v>
      </c>
      <c r="I954" s="67">
        <f>34.1163 * CHOOSE(CONTROL!$C$23, $C$13, 100%, $E$13)</f>
        <v>34.116300000000003</v>
      </c>
      <c r="J954" s="67">
        <f>17.9743 * CHOOSE(CONTROL!$C$23, $C$13, 100%, $E$13)</f>
        <v>17.974299999999999</v>
      </c>
      <c r="K954" s="67">
        <f>17.9791 * CHOOSE(CONTROL!$C$23, $C$13, 100%, $E$13)</f>
        <v>17.979099999999999</v>
      </c>
    </row>
    <row r="955" spans="1:11" ht="15">
      <c r="A955" s="13">
        <v>70189</v>
      </c>
      <c r="B955" s="66">
        <f>16.1928 * CHOOSE(CONTROL!$C$23, $C$13, 100%, $E$13)</f>
        <v>16.192799999999998</v>
      </c>
      <c r="C955" s="66">
        <f>16.1928 * CHOOSE(CONTROL!$C$23, $C$13, 100%, $E$13)</f>
        <v>16.192799999999998</v>
      </c>
      <c r="D955" s="66">
        <f>16.1967 * CHOOSE(CONTROL!$C$23, $C$13, 100%, $E$13)</f>
        <v>16.1967</v>
      </c>
      <c r="E955" s="67">
        <f>18.2316 * CHOOSE(CONTROL!$C$23, $C$13, 100%, $E$13)</f>
        <v>18.2316</v>
      </c>
      <c r="F955" s="67">
        <f>18.2316 * CHOOSE(CONTROL!$C$23, $C$13, 100%, $E$13)</f>
        <v>18.2316</v>
      </c>
      <c r="G955" s="67">
        <f>18.2364 * CHOOSE(CONTROL!$C$23, $C$13, 100%, $E$13)</f>
        <v>18.2364</v>
      </c>
      <c r="H955" s="67">
        <f>34.1826* CHOOSE(CONTROL!$C$23, $C$13, 100%, $E$13)</f>
        <v>34.182600000000001</v>
      </c>
      <c r="I955" s="67">
        <f>34.1874 * CHOOSE(CONTROL!$C$23, $C$13, 100%, $E$13)</f>
        <v>34.187399999999997</v>
      </c>
      <c r="J955" s="67">
        <f>18.2316 * CHOOSE(CONTROL!$C$23, $C$13, 100%, $E$13)</f>
        <v>18.2316</v>
      </c>
      <c r="K955" s="67">
        <f>18.2364 * CHOOSE(CONTROL!$C$23, $C$13, 100%, $E$13)</f>
        <v>18.2364</v>
      </c>
    </row>
    <row r="956" spans="1:11" ht="15">
      <c r="A956" s="13">
        <v>70220</v>
      </c>
      <c r="B956" s="66">
        <f>16.2006 * CHOOSE(CONTROL!$C$23, $C$13, 100%, $E$13)</f>
        <v>16.200600000000001</v>
      </c>
      <c r="C956" s="66">
        <f>16.2006 * CHOOSE(CONTROL!$C$23, $C$13, 100%, $E$13)</f>
        <v>16.200600000000001</v>
      </c>
      <c r="D956" s="66">
        <f>16.2045 * CHOOSE(CONTROL!$C$23, $C$13, 100%, $E$13)</f>
        <v>16.204499999999999</v>
      </c>
      <c r="E956" s="67">
        <f>18.5059 * CHOOSE(CONTROL!$C$23, $C$13, 100%, $E$13)</f>
        <v>18.5059</v>
      </c>
      <c r="F956" s="67">
        <f>18.5059 * CHOOSE(CONTROL!$C$23, $C$13, 100%, $E$13)</f>
        <v>18.5059</v>
      </c>
      <c r="G956" s="67">
        <f>18.5107 * CHOOSE(CONTROL!$C$23, $C$13, 100%, $E$13)</f>
        <v>18.5107</v>
      </c>
      <c r="H956" s="67">
        <f>34.2539* CHOOSE(CONTROL!$C$23, $C$13, 100%, $E$13)</f>
        <v>34.253900000000002</v>
      </c>
      <c r="I956" s="67">
        <f>34.2586 * CHOOSE(CONTROL!$C$23, $C$13, 100%, $E$13)</f>
        <v>34.258600000000001</v>
      </c>
      <c r="J956" s="67">
        <f>18.5059 * CHOOSE(CONTROL!$C$23, $C$13, 100%, $E$13)</f>
        <v>18.5059</v>
      </c>
      <c r="K956" s="67">
        <f>18.5107 * CHOOSE(CONTROL!$C$23, $C$13, 100%, $E$13)</f>
        <v>18.5107</v>
      </c>
    </row>
    <row r="957" spans="1:11" ht="15">
      <c r="A957" s="13">
        <v>70250</v>
      </c>
      <c r="B957" s="66">
        <f>16.2006 * CHOOSE(CONTROL!$C$23, $C$13, 100%, $E$13)</f>
        <v>16.200600000000001</v>
      </c>
      <c r="C957" s="66">
        <f>16.2006 * CHOOSE(CONTROL!$C$23, $C$13, 100%, $E$13)</f>
        <v>16.200600000000001</v>
      </c>
      <c r="D957" s="66">
        <f>16.2061 * CHOOSE(CONTROL!$C$23, $C$13, 100%, $E$13)</f>
        <v>16.206099999999999</v>
      </c>
      <c r="E957" s="67">
        <f>18.6104 * CHOOSE(CONTROL!$C$23, $C$13, 100%, $E$13)</f>
        <v>18.610399999999998</v>
      </c>
      <c r="F957" s="67">
        <f>18.6104 * CHOOSE(CONTROL!$C$23, $C$13, 100%, $E$13)</f>
        <v>18.610399999999998</v>
      </c>
      <c r="G957" s="67">
        <f>18.6171 * CHOOSE(CONTROL!$C$23, $C$13, 100%, $E$13)</f>
        <v>18.617100000000001</v>
      </c>
      <c r="H957" s="67">
        <f>34.3252* CHOOSE(CONTROL!$C$23, $C$13, 100%, $E$13)</f>
        <v>34.325200000000002</v>
      </c>
      <c r="I957" s="67">
        <f>34.332 * CHOOSE(CONTROL!$C$23, $C$13, 100%, $E$13)</f>
        <v>34.332000000000001</v>
      </c>
      <c r="J957" s="67">
        <f>18.6104 * CHOOSE(CONTROL!$C$23, $C$13, 100%, $E$13)</f>
        <v>18.610399999999998</v>
      </c>
      <c r="K957" s="67">
        <f>18.6171 * CHOOSE(CONTROL!$C$23, $C$13, 100%, $E$13)</f>
        <v>18.617100000000001</v>
      </c>
    </row>
    <row r="958" spans="1:11" ht="15">
      <c r="A958" s="13">
        <v>70281</v>
      </c>
      <c r="B958" s="66">
        <f>16.2067 * CHOOSE(CONTROL!$C$23, $C$13, 100%, $E$13)</f>
        <v>16.206700000000001</v>
      </c>
      <c r="C958" s="66">
        <f>16.2067 * CHOOSE(CONTROL!$C$23, $C$13, 100%, $E$13)</f>
        <v>16.206700000000001</v>
      </c>
      <c r="D958" s="66">
        <f>16.2122 * CHOOSE(CONTROL!$C$23, $C$13, 100%, $E$13)</f>
        <v>16.212199999999999</v>
      </c>
      <c r="E958" s="67">
        <f>18.5102 * CHOOSE(CONTROL!$C$23, $C$13, 100%, $E$13)</f>
        <v>18.510200000000001</v>
      </c>
      <c r="F958" s="67">
        <f>18.5102 * CHOOSE(CONTROL!$C$23, $C$13, 100%, $E$13)</f>
        <v>18.510200000000001</v>
      </c>
      <c r="G958" s="67">
        <f>18.5169 * CHOOSE(CONTROL!$C$23, $C$13, 100%, $E$13)</f>
        <v>18.5169</v>
      </c>
      <c r="H958" s="67">
        <f>34.3967* CHOOSE(CONTROL!$C$23, $C$13, 100%, $E$13)</f>
        <v>34.396700000000003</v>
      </c>
      <c r="I958" s="67">
        <f>34.4035 * CHOOSE(CONTROL!$C$23, $C$13, 100%, $E$13)</f>
        <v>34.403500000000001</v>
      </c>
      <c r="J958" s="67">
        <f>18.5102 * CHOOSE(CONTROL!$C$23, $C$13, 100%, $E$13)</f>
        <v>18.510200000000001</v>
      </c>
      <c r="K958" s="67">
        <f>18.5169 * CHOOSE(CONTROL!$C$23, $C$13, 100%, $E$13)</f>
        <v>18.5169</v>
      </c>
    </row>
    <row r="959" spans="1:11" ht="15">
      <c r="A959" s="13">
        <v>70311</v>
      </c>
      <c r="B959" s="66">
        <f>16.451 * CHOOSE(CONTROL!$C$23, $C$13, 100%, $E$13)</f>
        <v>16.451000000000001</v>
      </c>
      <c r="C959" s="66">
        <f>16.451 * CHOOSE(CONTROL!$C$23, $C$13, 100%, $E$13)</f>
        <v>16.451000000000001</v>
      </c>
      <c r="D959" s="66">
        <f>16.4565 * CHOOSE(CONTROL!$C$23, $C$13, 100%, $E$13)</f>
        <v>16.456499999999998</v>
      </c>
      <c r="E959" s="67">
        <f>18.8029 * CHOOSE(CONTROL!$C$23, $C$13, 100%, $E$13)</f>
        <v>18.802900000000001</v>
      </c>
      <c r="F959" s="67">
        <f>18.8029 * CHOOSE(CONTROL!$C$23, $C$13, 100%, $E$13)</f>
        <v>18.802900000000001</v>
      </c>
      <c r="G959" s="67">
        <f>18.8096 * CHOOSE(CONTROL!$C$23, $C$13, 100%, $E$13)</f>
        <v>18.8096</v>
      </c>
      <c r="H959" s="67">
        <f>34.4684* CHOOSE(CONTROL!$C$23, $C$13, 100%, $E$13)</f>
        <v>34.468400000000003</v>
      </c>
      <c r="I959" s="67">
        <f>34.4751 * CHOOSE(CONTROL!$C$23, $C$13, 100%, $E$13)</f>
        <v>34.475099999999998</v>
      </c>
      <c r="J959" s="67">
        <f>18.8029 * CHOOSE(CONTROL!$C$23, $C$13, 100%, $E$13)</f>
        <v>18.802900000000001</v>
      </c>
      <c r="K959" s="67">
        <f>18.8096 * CHOOSE(CONTROL!$C$23, $C$13, 100%, $E$13)</f>
        <v>18.8096</v>
      </c>
    </row>
    <row r="960" spans="1:11" ht="15">
      <c r="A960" s="13">
        <v>70342</v>
      </c>
      <c r="B960" s="66">
        <f>16.4577 * CHOOSE(CONTROL!$C$23, $C$13, 100%, $E$13)</f>
        <v>16.457699999999999</v>
      </c>
      <c r="C960" s="66">
        <f>16.4577 * CHOOSE(CONTROL!$C$23, $C$13, 100%, $E$13)</f>
        <v>16.457699999999999</v>
      </c>
      <c r="D960" s="66">
        <f>16.4632 * CHOOSE(CONTROL!$C$23, $C$13, 100%, $E$13)</f>
        <v>16.463200000000001</v>
      </c>
      <c r="E960" s="67">
        <f>18.4941 * CHOOSE(CONTROL!$C$23, $C$13, 100%, $E$13)</f>
        <v>18.4941</v>
      </c>
      <c r="F960" s="67">
        <f>18.4941 * CHOOSE(CONTROL!$C$23, $C$13, 100%, $E$13)</f>
        <v>18.4941</v>
      </c>
      <c r="G960" s="67">
        <f>18.5008 * CHOOSE(CONTROL!$C$23, $C$13, 100%, $E$13)</f>
        <v>18.500800000000002</v>
      </c>
      <c r="H960" s="67">
        <f>34.5402* CHOOSE(CONTROL!$C$23, $C$13, 100%, $E$13)</f>
        <v>34.540199999999999</v>
      </c>
      <c r="I960" s="67">
        <f>34.5469 * CHOOSE(CONTROL!$C$23, $C$13, 100%, $E$13)</f>
        <v>34.546900000000001</v>
      </c>
      <c r="J960" s="67">
        <f>18.4941 * CHOOSE(CONTROL!$C$23, $C$13, 100%, $E$13)</f>
        <v>18.4941</v>
      </c>
      <c r="K960" s="67">
        <f>18.5008 * CHOOSE(CONTROL!$C$23, $C$13, 100%, $E$13)</f>
        <v>18.500800000000002</v>
      </c>
    </row>
    <row r="961" spans="1:11" ht="15">
      <c r="A961" s="13">
        <v>70373</v>
      </c>
      <c r="B961" s="66">
        <f>16.4547 * CHOOSE(CONTROL!$C$23, $C$13, 100%, $E$13)</f>
        <v>16.454699999999999</v>
      </c>
      <c r="C961" s="66">
        <f>16.4547 * CHOOSE(CONTROL!$C$23, $C$13, 100%, $E$13)</f>
        <v>16.454699999999999</v>
      </c>
      <c r="D961" s="66">
        <f>16.4602 * CHOOSE(CONTROL!$C$23, $C$13, 100%, $E$13)</f>
        <v>16.4602</v>
      </c>
      <c r="E961" s="67">
        <f>18.4572 * CHOOSE(CONTROL!$C$23, $C$13, 100%, $E$13)</f>
        <v>18.4572</v>
      </c>
      <c r="F961" s="67">
        <f>18.4572 * CHOOSE(CONTROL!$C$23, $C$13, 100%, $E$13)</f>
        <v>18.4572</v>
      </c>
      <c r="G961" s="67">
        <f>18.4639 * CHOOSE(CONTROL!$C$23, $C$13, 100%, $E$13)</f>
        <v>18.463899999999999</v>
      </c>
      <c r="H961" s="67">
        <f>34.6122* CHOOSE(CONTROL!$C$23, $C$13, 100%, $E$13)</f>
        <v>34.612200000000001</v>
      </c>
      <c r="I961" s="67">
        <f>34.6189 * CHOOSE(CONTROL!$C$23, $C$13, 100%, $E$13)</f>
        <v>34.618899999999996</v>
      </c>
      <c r="J961" s="67">
        <f>18.4572 * CHOOSE(CONTROL!$C$23, $C$13, 100%, $E$13)</f>
        <v>18.4572</v>
      </c>
      <c r="K961" s="67">
        <f>18.4639 * CHOOSE(CONTROL!$C$23, $C$13, 100%, $E$13)</f>
        <v>18.463899999999999</v>
      </c>
    </row>
    <row r="962" spans="1:11" ht="15">
      <c r="A962" s="13">
        <v>70403</v>
      </c>
      <c r="B962" s="66">
        <f>16.4898 * CHOOSE(CONTROL!$C$23, $C$13, 100%, $E$13)</f>
        <v>16.489799999999999</v>
      </c>
      <c r="C962" s="66">
        <f>16.4898 * CHOOSE(CONTROL!$C$23, $C$13, 100%, $E$13)</f>
        <v>16.489799999999999</v>
      </c>
      <c r="D962" s="66">
        <f>16.4936 * CHOOSE(CONTROL!$C$23, $C$13, 100%, $E$13)</f>
        <v>16.493600000000001</v>
      </c>
      <c r="E962" s="67">
        <f>18.583 * CHOOSE(CONTROL!$C$23, $C$13, 100%, $E$13)</f>
        <v>18.582999999999998</v>
      </c>
      <c r="F962" s="67">
        <f>18.583 * CHOOSE(CONTROL!$C$23, $C$13, 100%, $E$13)</f>
        <v>18.582999999999998</v>
      </c>
      <c r="G962" s="67">
        <f>18.5878 * CHOOSE(CONTROL!$C$23, $C$13, 100%, $E$13)</f>
        <v>18.587800000000001</v>
      </c>
      <c r="H962" s="67">
        <f>34.6843* CHOOSE(CONTROL!$C$23, $C$13, 100%, $E$13)</f>
        <v>34.6843</v>
      </c>
      <c r="I962" s="67">
        <f>34.689 * CHOOSE(CONTROL!$C$23, $C$13, 100%, $E$13)</f>
        <v>34.689</v>
      </c>
      <c r="J962" s="67">
        <f>18.583 * CHOOSE(CONTROL!$C$23, $C$13, 100%, $E$13)</f>
        <v>18.582999999999998</v>
      </c>
      <c r="K962" s="67">
        <f>18.5878 * CHOOSE(CONTROL!$C$23, $C$13, 100%, $E$13)</f>
        <v>18.587800000000001</v>
      </c>
    </row>
    <row r="963" spans="1:11" ht="15">
      <c r="A963" s="13">
        <v>70434</v>
      </c>
      <c r="B963" s="66">
        <f>16.4928 * CHOOSE(CONTROL!$C$23, $C$13, 100%, $E$13)</f>
        <v>16.492799999999999</v>
      </c>
      <c r="C963" s="66">
        <f>16.4928 * CHOOSE(CONTROL!$C$23, $C$13, 100%, $E$13)</f>
        <v>16.492799999999999</v>
      </c>
      <c r="D963" s="66">
        <f>16.4967 * CHOOSE(CONTROL!$C$23, $C$13, 100%, $E$13)</f>
        <v>16.496700000000001</v>
      </c>
      <c r="E963" s="67">
        <f>18.6548 * CHOOSE(CONTROL!$C$23, $C$13, 100%, $E$13)</f>
        <v>18.654800000000002</v>
      </c>
      <c r="F963" s="67">
        <f>18.6548 * CHOOSE(CONTROL!$C$23, $C$13, 100%, $E$13)</f>
        <v>18.654800000000002</v>
      </c>
      <c r="G963" s="67">
        <f>18.6596 * CHOOSE(CONTROL!$C$23, $C$13, 100%, $E$13)</f>
        <v>18.659600000000001</v>
      </c>
      <c r="H963" s="67">
        <f>34.7565* CHOOSE(CONTROL!$C$23, $C$13, 100%, $E$13)</f>
        <v>34.756500000000003</v>
      </c>
      <c r="I963" s="67">
        <f>34.7613 * CHOOSE(CONTROL!$C$23, $C$13, 100%, $E$13)</f>
        <v>34.761299999999999</v>
      </c>
      <c r="J963" s="67">
        <f>18.6548 * CHOOSE(CONTROL!$C$23, $C$13, 100%, $E$13)</f>
        <v>18.654800000000002</v>
      </c>
      <c r="K963" s="67">
        <f>18.6596 * CHOOSE(CONTROL!$C$23, $C$13, 100%, $E$13)</f>
        <v>18.659600000000001</v>
      </c>
    </row>
    <row r="964" spans="1:11" ht="15">
      <c r="A964" s="13">
        <v>70464</v>
      </c>
      <c r="B964" s="66">
        <f>16.4928 * CHOOSE(CONTROL!$C$23, $C$13, 100%, $E$13)</f>
        <v>16.492799999999999</v>
      </c>
      <c r="C964" s="66">
        <f>16.4928 * CHOOSE(CONTROL!$C$23, $C$13, 100%, $E$13)</f>
        <v>16.492799999999999</v>
      </c>
      <c r="D964" s="66">
        <f>16.4967 * CHOOSE(CONTROL!$C$23, $C$13, 100%, $E$13)</f>
        <v>16.496700000000001</v>
      </c>
      <c r="E964" s="67">
        <f>18.4807 * CHOOSE(CONTROL!$C$23, $C$13, 100%, $E$13)</f>
        <v>18.480699999999999</v>
      </c>
      <c r="F964" s="67">
        <f>18.4807 * CHOOSE(CONTROL!$C$23, $C$13, 100%, $E$13)</f>
        <v>18.480699999999999</v>
      </c>
      <c r="G964" s="67">
        <f>18.4855 * CHOOSE(CONTROL!$C$23, $C$13, 100%, $E$13)</f>
        <v>18.485499999999998</v>
      </c>
      <c r="H964" s="67">
        <f>34.8289* CHOOSE(CONTROL!$C$23, $C$13, 100%, $E$13)</f>
        <v>34.828899999999997</v>
      </c>
      <c r="I964" s="67">
        <f>34.8337 * CHOOSE(CONTROL!$C$23, $C$13, 100%, $E$13)</f>
        <v>34.8337</v>
      </c>
      <c r="J964" s="67">
        <f>18.4807 * CHOOSE(CONTROL!$C$23, $C$13, 100%, $E$13)</f>
        <v>18.480699999999999</v>
      </c>
      <c r="K964" s="67">
        <f>18.4855 * CHOOSE(CONTROL!$C$23, $C$13, 100%, $E$13)</f>
        <v>18.485499999999998</v>
      </c>
    </row>
    <row r="965" spans="1:11" ht="15">
      <c r="A965" s="13">
        <v>70495</v>
      </c>
      <c r="B965" s="66">
        <f>16.4344 * CHOOSE(CONTROL!$C$23, $C$13, 100%, $E$13)</f>
        <v>16.4344</v>
      </c>
      <c r="C965" s="66">
        <f>16.4344 * CHOOSE(CONTROL!$C$23, $C$13, 100%, $E$13)</f>
        <v>16.4344</v>
      </c>
      <c r="D965" s="66">
        <f>16.4383 * CHOOSE(CONTROL!$C$23, $C$13, 100%, $E$13)</f>
        <v>16.438300000000002</v>
      </c>
      <c r="E965" s="67">
        <f>18.5602 * CHOOSE(CONTROL!$C$23, $C$13, 100%, $E$13)</f>
        <v>18.560199999999998</v>
      </c>
      <c r="F965" s="67">
        <f>18.5602 * CHOOSE(CONTROL!$C$23, $C$13, 100%, $E$13)</f>
        <v>18.560199999999998</v>
      </c>
      <c r="G965" s="67">
        <f>18.565 * CHOOSE(CONTROL!$C$23, $C$13, 100%, $E$13)</f>
        <v>18.565000000000001</v>
      </c>
      <c r="H965" s="67">
        <f>34.5232* CHOOSE(CONTROL!$C$23, $C$13, 100%, $E$13)</f>
        <v>34.523200000000003</v>
      </c>
      <c r="I965" s="67">
        <f>34.528 * CHOOSE(CONTROL!$C$23, $C$13, 100%, $E$13)</f>
        <v>34.527999999999999</v>
      </c>
      <c r="J965" s="67">
        <f>18.5602 * CHOOSE(CONTROL!$C$23, $C$13, 100%, $E$13)</f>
        <v>18.560199999999998</v>
      </c>
      <c r="K965" s="67">
        <f>18.565 * CHOOSE(CONTROL!$C$23, $C$13, 100%, $E$13)</f>
        <v>18.565000000000001</v>
      </c>
    </row>
    <row r="966" spans="1:11" ht="15">
      <c r="A966" s="13">
        <v>70526</v>
      </c>
      <c r="B966" s="66">
        <f>16.4314 * CHOOSE(CONTROL!$C$23, $C$13, 100%, $E$13)</f>
        <v>16.4314</v>
      </c>
      <c r="C966" s="66">
        <f>16.4314 * CHOOSE(CONTROL!$C$23, $C$13, 100%, $E$13)</f>
        <v>16.4314</v>
      </c>
      <c r="D966" s="66">
        <f>16.4353 * CHOOSE(CONTROL!$C$23, $C$13, 100%, $E$13)</f>
        <v>16.435300000000002</v>
      </c>
      <c r="E966" s="67">
        <f>18.2241 * CHOOSE(CONTROL!$C$23, $C$13, 100%, $E$13)</f>
        <v>18.2241</v>
      </c>
      <c r="F966" s="67">
        <f>18.2241 * CHOOSE(CONTROL!$C$23, $C$13, 100%, $E$13)</f>
        <v>18.2241</v>
      </c>
      <c r="G966" s="67">
        <f>18.2289 * CHOOSE(CONTROL!$C$23, $C$13, 100%, $E$13)</f>
        <v>18.228899999999999</v>
      </c>
      <c r="H966" s="67">
        <f>34.5951* CHOOSE(CONTROL!$C$23, $C$13, 100%, $E$13)</f>
        <v>34.595100000000002</v>
      </c>
      <c r="I966" s="67">
        <f>34.5999 * CHOOSE(CONTROL!$C$23, $C$13, 100%, $E$13)</f>
        <v>34.599899999999998</v>
      </c>
      <c r="J966" s="67">
        <f>18.2241 * CHOOSE(CONTROL!$C$23, $C$13, 100%, $E$13)</f>
        <v>18.2241</v>
      </c>
      <c r="K966" s="67">
        <f>18.2289 * CHOOSE(CONTROL!$C$23, $C$13, 100%, $E$13)</f>
        <v>18.228899999999999</v>
      </c>
    </row>
    <row r="967" spans="1:11" ht="15">
      <c r="A967" s="13">
        <v>70554</v>
      </c>
      <c r="B967" s="66">
        <f>16.4284 * CHOOSE(CONTROL!$C$23, $C$13, 100%, $E$13)</f>
        <v>16.4284</v>
      </c>
      <c r="C967" s="66">
        <f>16.4284 * CHOOSE(CONTROL!$C$23, $C$13, 100%, $E$13)</f>
        <v>16.4284</v>
      </c>
      <c r="D967" s="66">
        <f>16.4322 * CHOOSE(CONTROL!$C$23, $C$13, 100%, $E$13)</f>
        <v>16.432200000000002</v>
      </c>
      <c r="E967" s="67">
        <f>18.4853 * CHOOSE(CONTROL!$C$23, $C$13, 100%, $E$13)</f>
        <v>18.485299999999999</v>
      </c>
      <c r="F967" s="67">
        <f>18.4853 * CHOOSE(CONTROL!$C$23, $C$13, 100%, $E$13)</f>
        <v>18.485299999999999</v>
      </c>
      <c r="G967" s="67">
        <f>18.49 * CHOOSE(CONTROL!$C$23, $C$13, 100%, $E$13)</f>
        <v>18.489999999999998</v>
      </c>
      <c r="H967" s="67">
        <f>34.6672* CHOOSE(CONTROL!$C$23, $C$13, 100%, $E$13)</f>
        <v>34.667200000000001</v>
      </c>
      <c r="I967" s="67">
        <f>34.672 * CHOOSE(CONTROL!$C$23, $C$13, 100%, $E$13)</f>
        <v>34.671999999999997</v>
      </c>
      <c r="J967" s="67">
        <f>18.4853 * CHOOSE(CONTROL!$C$23, $C$13, 100%, $E$13)</f>
        <v>18.485299999999999</v>
      </c>
      <c r="K967" s="67">
        <f>18.49 * CHOOSE(CONTROL!$C$23, $C$13, 100%, $E$13)</f>
        <v>18.489999999999998</v>
      </c>
    </row>
    <row r="968" spans="1:11" ht="15">
      <c r="A968" s="13">
        <v>70585</v>
      </c>
      <c r="B968" s="66">
        <f>16.4364 * CHOOSE(CONTROL!$C$23, $C$13, 100%, $E$13)</f>
        <v>16.436399999999999</v>
      </c>
      <c r="C968" s="66">
        <f>16.4364 * CHOOSE(CONTROL!$C$23, $C$13, 100%, $E$13)</f>
        <v>16.436399999999999</v>
      </c>
      <c r="D968" s="66">
        <f>16.4403 * CHOOSE(CONTROL!$C$23, $C$13, 100%, $E$13)</f>
        <v>16.440300000000001</v>
      </c>
      <c r="E968" s="67">
        <f>18.7638 * CHOOSE(CONTROL!$C$23, $C$13, 100%, $E$13)</f>
        <v>18.7638</v>
      </c>
      <c r="F968" s="67">
        <f>18.7638 * CHOOSE(CONTROL!$C$23, $C$13, 100%, $E$13)</f>
        <v>18.7638</v>
      </c>
      <c r="G968" s="67">
        <f>18.7686 * CHOOSE(CONTROL!$C$23, $C$13, 100%, $E$13)</f>
        <v>18.768599999999999</v>
      </c>
      <c r="H968" s="67">
        <f>34.7394* CHOOSE(CONTROL!$C$23, $C$13, 100%, $E$13)</f>
        <v>34.739400000000003</v>
      </c>
      <c r="I968" s="67">
        <f>34.7442 * CHOOSE(CONTROL!$C$23, $C$13, 100%, $E$13)</f>
        <v>34.744199999999999</v>
      </c>
      <c r="J968" s="67">
        <f>18.7638 * CHOOSE(CONTROL!$C$23, $C$13, 100%, $E$13)</f>
        <v>18.7638</v>
      </c>
      <c r="K968" s="67">
        <f>18.7686 * CHOOSE(CONTROL!$C$23, $C$13, 100%, $E$13)</f>
        <v>18.768599999999999</v>
      </c>
    </row>
    <row r="969" spans="1:11" ht="15">
      <c r="A969" s="13">
        <v>70615</v>
      </c>
      <c r="B969" s="66">
        <f>16.4364 * CHOOSE(CONTROL!$C$23, $C$13, 100%, $E$13)</f>
        <v>16.436399999999999</v>
      </c>
      <c r="C969" s="66">
        <f>16.4364 * CHOOSE(CONTROL!$C$23, $C$13, 100%, $E$13)</f>
        <v>16.436399999999999</v>
      </c>
      <c r="D969" s="66">
        <f>16.4419 * CHOOSE(CONTROL!$C$23, $C$13, 100%, $E$13)</f>
        <v>16.4419</v>
      </c>
      <c r="E969" s="67">
        <f>18.8698 * CHOOSE(CONTROL!$C$23, $C$13, 100%, $E$13)</f>
        <v>18.869800000000001</v>
      </c>
      <c r="F969" s="67">
        <f>18.8698 * CHOOSE(CONTROL!$C$23, $C$13, 100%, $E$13)</f>
        <v>18.869800000000001</v>
      </c>
      <c r="G969" s="67">
        <f>18.8766 * CHOOSE(CONTROL!$C$23, $C$13, 100%, $E$13)</f>
        <v>18.8766</v>
      </c>
      <c r="H969" s="67">
        <f>34.8118* CHOOSE(CONTROL!$C$23, $C$13, 100%, $E$13)</f>
        <v>34.811799999999998</v>
      </c>
      <c r="I969" s="67">
        <f>34.8185 * CHOOSE(CONTROL!$C$23, $C$13, 100%, $E$13)</f>
        <v>34.8185</v>
      </c>
      <c r="J969" s="67">
        <f>18.8698 * CHOOSE(CONTROL!$C$23, $C$13, 100%, $E$13)</f>
        <v>18.869800000000001</v>
      </c>
      <c r="K969" s="67">
        <f>18.8766 * CHOOSE(CONTROL!$C$23, $C$13, 100%, $E$13)</f>
        <v>18.8766</v>
      </c>
    </row>
    <row r="970" spans="1:11" ht="15">
      <c r="A970" s="13">
        <v>70646</v>
      </c>
      <c r="B970" s="66">
        <f>16.4425 * CHOOSE(CONTROL!$C$23, $C$13, 100%, $E$13)</f>
        <v>16.442499999999999</v>
      </c>
      <c r="C970" s="66">
        <f>16.4425 * CHOOSE(CONTROL!$C$23, $C$13, 100%, $E$13)</f>
        <v>16.442499999999999</v>
      </c>
      <c r="D970" s="66">
        <f>16.448 * CHOOSE(CONTROL!$C$23, $C$13, 100%, $E$13)</f>
        <v>16.448</v>
      </c>
      <c r="E970" s="67">
        <f>18.768 * CHOOSE(CONTROL!$C$23, $C$13, 100%, $E$13)</f>
        <v>18.768000000000001</v>
      </c>
      <c r="F970" s="67">
        <f>18.768 * CHOOSE(CONTROL!$C$23, $C$13, 100%, $E$13)</f>
        <v>18.768000000000001</v>
      </c>
      <c r="G970" s="67">
        <f>18.7748 * CHOOSE(CONTROL!$C$23, $C$13, 100%, $E$13)</f>
        <v>18.774799999999999</v>
      </c>
      <c r="H970" s="67">
        <f>34.8843* CHOOSE(CONTROL!$C$23, $C$13, 100%, $E$13)</f>
        <v>34.884300000000003</v>
      </c>
      <c r="I970" s="67">
        <f>34.8911 * CHOOSE(CONTROL!$C$23, $C$13, 100%, $E$13)</f>
        <v>34.891100000000002</v>
      </c>
      <c r="J970" s="67">
        <f>18.768 * CHOOSE(CONTROL!$C$23, $C$13, 100%, $E$13)</f>
        <v>18.768000000000001</v>
      </c>
      <c r="K970" s="67">
        <f>18.7748 * CHOOSE(CONTROL!$C$23, $C$13, 100%, $E$13)</f>
        <v>18.774799999999999</v>
      </c>
    </row>
    <row r="971" spans="1:11" ht="15">
      <c r="A971" s="13">
        <v>70676</v>
      </c>
      <c r="B971" s="66">
        <f>16.6902 * CHOOSE(CONTROL!$C$23, $C$13, 100%, $E$13)</f>
        <v>16.690200000000001</v>
      </c>
      <c r="C971" s="66">
        <f>16.6902 * CHOOSE(CONTROL!$C$23, $C$13, 100%, $E$13)</f>
        <v>16.690200000000001</v>
      </c>
      <c r="D971" s="66">
        <f>16.6957 * CHOOSE(CONTROL!$C$23, $C$13, 100%, $E$13)</f>
        <v>16.695699999999999</v>
      </c>
      <c r="E971" s="67">
        <f>19.0646 * CHOOSE(CONTROL!$C$23, $C$13, 100%, $E$13)</f>
        <v>19.064599999999999</v>
      </c>
      <c r="F971" s="67">
        <f>19.0646 * CHOOSE(CONTROL!$C$23, $C$13, 100%, $E$13)</f>
        <v>19.064599999999999</v>
      </c>
      <c r="G971" s="67">
        <f>19.0714 * CHOOSE(CONTROL!$C$23, $C$13, 100%, $E$13)</f>
        <v>19.071400000000001</v>
      </c>
      <c r="H971" s="67">
        <f>34.957* CHOOSE(CONTROL!$C$23, $C$13, 100%, $E$13)</f>
        <v>34.957000000000001</v>
      </c>
      <c r="I971" s="67">
        <f>34.9637 * CHOOSE(CONTROL!$C$23, $C$13, 100%, $E$13)</f>
        <v>34.963700000000003</v>
      </c>
      <c r="J971" s="67">
        <f>19.0646 * CHOOSE(CONTROL!$C$23, $C$13, 100%, $E$13)</f>
        <v>19.064599999999999</v>
      </c>
      <c r="K971" s="67">
        <f>19.0714 * CHOOSE(CONTROL!$C$23, $C$13, 100%, $E$13)</f>
        <v>19.071400000000001</v>
      </c>
    </row>
    <row r="972" spans="1:11" ht="15">
      <c r="A972" s="13">
        <v>70707</v>
      </c>
      <c r="B972" s="66">
        <f>16.6969 * CHOOSE(CONTROL!$C$23, $C$13, 100%, $E$13)</f>
        <v>16.696899999999999</v>
      </c>
      <c r="C972" s="66">
        <f>16.6969 * CHOOSE(CONTROL!$C$23, $C$13, 100%, $E$13)</f>
        <v>16.696899999999999</v>
      </c>
      <c r="D972" s="66">
        <f>16.7024 * CHOOSE(CONTROL!$C$23, $C$13, 100%, $E$13)</f>
        <v>16.702400000000001</v>
      </c>
      <c r="E972" s="67">
        <f>18.7512 * CHOOSE(CONTROL!$C$23, $C$13, 100%, $E$13)</f>
        <v>18.751200000000001</v>
      </c>
      <c r="F972" s="67">
        <f>18.7512 * CHOOSE(CONTROL!$C$23, $C$13, 100%, $E$13)</f>
        <v>18.751200000000001</v>
      </c>
      <c r="G972" s="67">
        <f>18.7579 * CHOOSE(CONTROL!$C$23, $C$13, 100%, $E$13)</f>
        <v>18.757899999999999</v>
      </c>
      <c r="H972" s="67">
        <f>35.0298* CHOOSE(CONTROL!$C$23, $C$13, 100%, $E$13)</f>
        <v>35.029800000000002</v>
      </c>
      <c r="I972" s="67">
        <f>35.0366 * CHOOSE(CONTROL!$C$23, $C$13, 100%, $E$13)</f>
        <v>35.0366</v>
      </c>
      <c r="J972" s="67">
        <f>18.7512 * CHOOSE(CONTROL!$C$23, $C$13, 100%, $E$13)</f>
        <v>18.751200000000001</v>
      </c>
      <c r="K972" s="67">
        <f>18.7579 * CHOOSE(CONTROL!$C$23, $C$13, 100%, $E$13)</f>
        <v>18.757899999999999</v>
      </c>
    </row>
    <row r="973" spans="1:11" ht="15">
      <c r="A973" s="13">
        <v>70738</v>
      </c>
      <c r="B973" s="66">
        <f>16.6939 * CHOOSE(CONTROL!$C$23, $C$13, 100%, $E$13)</f>
        <v>16.693899999999999</v>
      </c>
      <c r="C973" s="66">
        <f>16.6939 * CHOOSE(CONTROL!$C$23, $C$13, 100%, $E$13)</f>
        <v>16.693899999999999</v>
      </c>
      <c r="D973" s="66">
        <f>16.6994 * CHOOSE(CONTROL!$C$23, $C$13, 100%, $E$13)</f>
        <v>16.699400000000001</v>
      </c>
      <c r="E973" s="67">
        <f>18.7137 * CHOOSE(CONTROL!$C$23, $C$13, 100%, $E$13)</f>
        <v>18.713699999999999</v>
      </c>
      <c r="F973" s="67">
        <f>18.7137 * CHOOSE(CONTROL!$C$23, $C$13, 100%, $E$13)</f>
        <v>18.713699999999999</v>
      </c>
      <c r="G973" s="67">
        <f>18.7205 * CHOOSE(CONTROL!$C$23, $C$13, 100%, $E$13)</f>
        <v>18.720500000000001</v>
      </c>
      <c r="H973" s="67">
        <f>35.1028* CHOOSE(CONTROL!$C$23, $C$13, 100%, $E$13)</f>
        <v>35.102800000000002</v>
      </c>
      <c r="I973" s="67">
        <f>35.1095 * CHOOSE(CONTROL!$C$23, $C$13, 100%, $E$13)</f>
        <v>35.109499999999997</v>
      </c>
      <c r="J973" s="67">
        <f>18.7137 * CHOOSE(CONTROL!$C$23, $C$13, 100%, $E$13)</f>
        <v>18.713699999999999</v>
      </c>
      <c r="K973" s="67">
        <f>18.7205 * CHOOSE(CONTROL!$C$23, $C$13, 100%, $E$13)</f>
        <v>18.720500000000001</v>
      </c>
    </row>
    <row r="974" spans="1:11" ht="15">
      <c r="A974" s="13">
        <v>70768</v>
      </c>
      <c r="B974" s="66">
        <f>16.7297 * CHOOSE(CONTROL!$C$23, $C$13, 100%, $E$13)</f>
        <v>16.729700000000001</v>
      </c>
      <c r="C974" s="66">
        <f>16.7297 * CHOOSE(CONTROL!$C$23, $C$13, 100%, $E$13)</f>
        <v>16.729700000000001</v>
      </c>
      <c r="D974" s="66">
        <f>16.7336 * CHOOSE(CONTROL!$C$23, $C$13, 100%, $E$13)</f>
        <v>16.733599999999999</v>
      </c>
      <c r="E974" s="67">
        <f>18.8417 * CHOOSE(CONTROL!$C$23, $C$13, 100%, $E$13)</f>
        <v>18.841699999999999</v>
      </c>
      <c r="F974" s="67">
        <f>18.8417 * CHOOSE(CONTROL!$C$23, $C$13, 100%, $E$13)</f>
        <v>18.841699999999999</v>
      </c>
      <c r="G974" s="67">
        <f>18.8464 * CHOOSE(CONTROL!$C$23, $C$13, 100%, $E$13)</f>
        <v>18.846399999999999</v>
      </c>
      <c r="H974" s="67">
        <f>35.1759* CHOOSE(CONTROL!$C$23, $C$13, 100%, $E$13)</f>
        <v>35.175899999999999</v>
      </c>
      <c r="I974" s="67">
        <f>35.1807 * CHOOSE(CONTROL!$C$23, $C$13, 100%, $E$13)</f>
        <v>35.180700000000002</v>
      </c>
      <c r="J974" s="67">
        <f>18.8417 * CHOOSE(CONTROL!$C$23, $C$13, 100%, $E$13)</f>
        <v>18.841699999999999</v>
      </c>
      <c r="K974" s="67">
        <f>18.8464 * CHOOSE(CONTROL!$C$23, $C$13, 100%, $E$13)</f>
        <v>18.846399999999999</v>
      </c>
    </row>
    <row r="975" spans="1:11" ht="15">
      <c r="A975" s="13">
        <v>70799</v>
      </c>
      <c r="B975" s="66">
        <f>16.7327 * CHOOSE(CONTROL!$C$23, $C$13, 100%, $E$13)</f>
        <v>16.732700000000001</v>
      </c>
      <c r="C975" s="66">
        <f>16.7327 * CHOOSE(CONTROL!$C$23, $C$13, 100%, $E$13)</f>
        <v>16.732700000000001</v>
      </c>
      <c r="D975" s="66">
        <f>16.7366 * CHOOSE(CONTROL!$C$23, $C$13, 100%, $E$13)</f>
        <v>16.736599999999999</v>
      </c>
      <c r="E975" s="67">
        <f>18.9145 * CHOOSE(CONTROL!$C$23, $C$13, 100%, $E$13)</f>
        <v>18.9145</v>
      </c>
      <c r="F975" s="67">
        <f>18.9145 * CHOOSE(CONTROL!$C$23, $C$13, 100%, $E$13)</f>
        <v>18.9145</v>
      </c>
      <c r="G975" s="67">
        <f>18.9193 * CHOOSE(CONTROL!$C$23, $C$13, 100%, $E$13)</f>
        <v>18.9193</v>
      </c>
      <c r="H975" s="67">
        <f>35.2492* CHOOSE(CONTROL!$C$23, $C$13, 100%, $E$13)</f>
        <v>35.249200000000002</v>
      </c>
      <c r="I975" s="67">
        <f>35.254 * CHOOSE(CONTROL!$C$23, $C$13, 100%, $E$13)</f>
        <v>35.253999999999998</v>
      </c>
      <c r="J975" s="67">
        <f>18.9145 * CHOOSE(CONTROL!$C$23, $C$13, 100%, $E$13)</f>
        <v>18.9145</v>
      </c>
      <c r="K975" s="67">
        <f>18.9193 * CHOOSE(CONTROL!$C$23, $C$13, 100%, $E$13)</f>
        <v>18.9193</v>
      </c>
    </row>
    <row r="976" spans="1:11" ht="15">
      <c r="A976" s="13">
        <v>70829</v>
      </c>
      <c r="B976" s="66">
        <f>16.7327 * CHOOSE(CONTROL!$C$23, $C$13, 100%, $E$13)</f>
        <v>16.732700000000001</v>
      </c>
      <c r="C976" s="66">
        <f>16.7327 * CHOOSE(CONTROL!$C$23, $C$13, 100%, $E$13)</f>
        <v>16.732700000000001</v>
      </c>
      <c r="D976" s="66">
        <f>16.7366 * CHOOSE(CONTROL!$C$23, $C$13, 100%, $E$13)</f>
        <v>16.736599999999999</v>
      </c>
      <c r="E976" s="67">
        <f>18.7378 * CHOOSE(CONTROL!$C$23, $C$13, 100%, $E$13)</f>
        <v>18.7378</v>
      </c>
      <c r="F976" s="67">
        <f>18.7378 * CHOOSE(CONTROL!$C$23, $C$13, 100%, $E$13)</f>
        <v>18.7378</v>
      </c>
      <c r="G976" s="67">
        <f>18.7425 * CHOOSE(CONTROL!$C$23, $C$13, 100%, $E$13)</f>
        <v>18.7425</v>
      </c>
      <c r="H976" s="67">
        <f>35.3227* CHOOSE(CONTROL!$C$23, $C$13, 100%, $E$13)</f>
        <v>35.322699999999998</v>
      </c>
      <c r="I976" s="67">
        <f>35.3274 * CHOOSE(CONTROL!$C$23, $C$13, 100%, $E$13)</f>
        <v>35.327399999999997</v>
      </c>
      <c r="J976" s="67">
        <f>18.7378 * CHOOSE(CONTROL!$C$23, $C$13, 100%, $E$13)</f>
        <v>18.7378</v>
      </c>
      <c r="K976" s="67">
        <f>18.7425 * CHOOSE(CONTROL!$C$23, $C$13, 100%, $E$13)</f>
        <v>18.7425</v>
      </c>
    </row>
    <row r="977" spans="1:11" ht="15">
      <c r="A977" s="13">
        <v>70860</v>
      </c>
      <c r="B977" s="66">
        <f>16.67 * CHOOSE(CONTROL!$C$23, $C$13, 100%, $E$13)</f>
        <v>16.670000000000002</v>
      </c>
      <c r="C977" s="66">
        <f>16.67 * CHOOSE(CONTROL!$C$23, $C$13, 100%, $E$13)</f>
        <v>16.670000000000002</v>
      </c>
      <c r="D977" s="66">
        <f>16.6739 * CHOOSE(CONTROL!$C$23, $C$13, 100%, $E$13)</f>
        <v>16.6739</v>
      </c>
      <c r="E977" s="67">
        <f>18.8149 * CHOOSE(CONTROL!$C$23, $C$13, 100%, $E$13)</f>
        <v>18.814900000000002</v>
      </c>
      <c r="F977" s="67">
        <f>18.8149 * CHOOSE(CONTROL!$C$23, $C$13, 100%, $E$13)</f>
        <v>18.814900000000002</v>
      </c>
      <c r="G977" s="67">
        <f>18.8197 * CHOOSE(CONTROL!$C$23, $C$13, 100%, $E$13)</f>
        <v>18.819700000000001</v>
      </c>
      <c r="H977" s="67">
        <f>35.0058* CHOOSE(CONTROL!$C$23, $C$13, 100%, $E$13)</f>
        <v>35.005800000000001</v>
      </c>
      <c r="I977" s="67">
        <f>35.0105 * CHOOSE(CONTROL!$C$23, $C$13, 100%, $E$13)</f>
        <v>35.0105</v>
      </c>
      <c r="J977" s="67">
        <f>18.8149 * CHOOSE(CONTROL!$C$23, $C$13, 100%, $E$13)</f>
        <v>18.814900000000002</v>
      </c>
      <c r="K977" s="67">
        <f>18.8197 * CHOOSE(CONTROL!$C$23, $C$13, 100%, $E$13)</f>
        <v>18.819700000000001</v>
      </c>
    </row>
    <row r="978" spans="1:11" ht="15">
      <c r="A978" s="13">
        <v>70891</v>
      </c>
      <c r="B978" s="66">
        <f>16.667 * CHOOSE(CONTROL!$C$23, $C$13, 100%, $E$13)</f>
        <v>16.667000000000002</v>
      </c>
      <c r="C978" s="66">
        <f>16.667 * CHOOSE(CONTROL!$C$23, $C$13, 100%, $E$13)</f>
        <v>16.667000000000002</v>
      </c>
      <c r="D978" s="66">
        <f>16.6708 * CHOOSE(CONTROL!$C$23, $C$13, 100%, $E$13)</f>
        <v>16.6708</v>
      </c>
      <c r="E978" s="67">
        <f>18.4739 * CHOOSE(CONTROL!$C$23, $C$13, 100%, $E$13)</f>
        <v>18.4739</v>
      </c>
      <c r="F978" s="67">
        <f>18.4739 * CHOOSE(CONTROL!$C$23, $C$13, 100%, $E$13)</f>
        <v>18.4739</v>
      </c>
      <c r="G978" s="67">
        <f>18.4787 * CHOOSE(CONTROL!$C$23, $C$13, 100%, $E$13)</f>
        <v>18.4787</v>
      </c>
      <c r="H978" s="67">
        <f>35.0787* CHOOSE(CONTROL!$C$23, $C$13, 100%, $E$13)</f>
        <v>35.078699999999998</v>
      </c>
      <c r="I978" s="67">
        <f>35.0835 * CHOOSE(CONTROL!$C$23, $C$13, 100%, $E$13)</f>
        <v>35.083500000000001</v>
      </c>
      <c r="J978" s="67">
        <f>18.4739 * CHOOSE(CONTROL!$C$23, $C$13, 100%, $E$13)</f>
        <v>18.4739</v>
      </c>
      <c r="K978" s="67">
        <f>18.4787 * CHOOSE(CONTROL!$C$23, $C$13, 100%, $E$13)</f>
        <v>18.4787</v>
      </c>
    </row>
    <row r="979" spans="1:11" ht="15">
      <c r="A979" s="13">
        <v>70919</v>
      </c>
      <c r="B979" s="66">
        <f>16.6639 * CHOOSE(CONTROL!$C$23, $C$13, 100%, $E$13)</f>
        <v>16.663900000000002</v>
      </c>
      <c r="C979" s="66">
        <f>16.6639 * CHOOSE(CONTROL!$C$23, $C$13, 100%, $E$13)</f>
        <v>16.663900000000002</v>
      </c>
      <c r="D979" s="66">
        <f>16.6678 * CHOOSE(CONTROL!$C$23, $C$13, 100%, $E$13)</f>
        <v>16.6678</v>
      </c>
      <c r="E979" s="67">
        <f>18.739 * CHOOSE(CONTROL!$C$23, $C$13, 100%, $E$13)</f>
        <v>18.739000000000001</v>
      </c>
      <c r="F979" s="67">
        <f>18.739 * CHOOSE(CONTROL!$C$23, $C$13, 100%, $E$13)</f>
        <v>18.739000000000001</v>
      </c>
      <c r="G979" s="67">
        <f>18.7437 * CHOOSE(CONTROL!$C$23, $C$13, 100%, $E$13)</f>
        <v>18.7437</v>
      </c>
      <c r="H979" s="67">
        <f>35.1518* CHOOSE(CONTROL!$C$23, $C$13, 100%, $E$13)</f>
        <v>35.151800000000001</v>
      </c>
      <c r="I979" s="67">
        <f>35.1565 * CHOOSE(CONTROL!$C$23, $C$13, 100%, $E$13)</f>
        <v>35.156500000000001</v>
      </c>
      <c r="J979" s="67">
        <f>18.739 * CHOOSE(CONTROL!$C$23, $C$13, 100%, $E$13)</f>
        <v>18.739000000000001</v>
      </c>
      <c r="K979" s="67">
        <f>18.7437 * CHOOSE(CONTROL!$C$23, $C$13, 100%, $E$13)</f>
        <v>18.7437</v>
      </c>
    </row>
    <row r="980" spans="1:11" ht="15">
      <c r="A980" s="13">
        <v>70950</v>
      </c>
      <c r="B980" s="66">
        <f>16.6722 * CHOOSE(CONTROL!$C$23, $C$13, 100%, $E$13)</f>
        <v>16.6722</v>
      </c>
      <c r="C980" s="66">
        <f>16.6722 * CHOOSE(CONTROL!$C$23, $C$13, 100%, $E$13)</f>
        <v>16.6722</v>
      </c>
      <c r="D980" s="66">
        <f>16.676 * CHOOSE(CONTROL!$C$23, $C$13, 100%, $E$13)</f>
        <v>16.675999999999998</v>
      </c>
      <c r="E980" s="67">
        <f>19.0217 * CHOOSE(CONTROL!$C$23, $C$13, 100%, $E$13)</f>
        <v>19.021699999999999</v>
      </c>
      <c r="F980" s="67">
        <f>19.0217 * CHOOSE(CONTROL!$C$23, $C$13, 100%, $E$13)</f>
        <v>19.021699999999999</v>
      </c>
      <c r="G980" s="67">
        <f>19.0264 * CHOOSE(CONTROL!$C$23, $C$13, 100%, $E$13)</f>
        <v>19.026399999999999</v>
      </c>
      <c r="H980" s="67">
        <f>35.225* CHOOSE(CONTROL!$C$23, $C$13, 100%, $E$13)</f>
        <v>35.225000000000001</v>
      </c>
      <c r="I980" s="67">
        <f>35.2298 * CHOOSE(CONTROL!$C$23, $C$13, 100%, $E$13)</f>
        <v>35.229799999999997</v>
      </c>
      <c r="J980" s="67">
        <f>19.0217 * CHOOSE(CONTROL!$C$23, $C$13, 100%, $E$13)</f>
        <v>19.021699999999999</v>
      </c>
      <c r="K980" s="67">
        <f>19.0264 * CHOOSE(CONTROL!$C$23, $C$13, 100%, $E$13)</f>
        <v>19.026399999999999</v>
      </c>
    </row>
    <row r="981" spans="1:11" ht="15">
      <c r="A981" s="13">
        <v>70980</v>
      </c>
      <c r="B981" s="66">
        <f>16.6722 * CHOOSE(CONTROL!$C$23, $C$13, 100%, $E$13)</f>
        <v>16.6722</v>
      </c>
      <c r="C981" s="66">
        <f>16.6722 * CHOOSE(CONTROL!$C$23, $C$13, 100%, $E$13)</f>
        <v>16.6722</v>
      </c>
      <c r="D981" s="66">
        <f>16.6777 * CHOOSE(CONTROL!$C$23, $C$13, 100%, $E$13)</f>
        <v>16.677700000000002</v>
      </c>
      <c r="E981" s="67">
        <f>19.1293 * CHOOSE(CONTROL!$C$23, $C$13, 100%, $E$13)</f>
        <v>19.129300000000001</v>
      </c>
      <c r="F981" s="67">
        <f>19.1293 * CHOOSE(CONTROL!$C$23, $C$13, 100%, $E$13)</f>
        <v>19.129300000000001</v>
      </c>
      <c r="G981" s="67">
        <f>19.136 * CHOOSE(CONTROL!$C$23, $C$13, 100%, $E$13)</f>
        <v>19.135999999999999</v>
      </c>
      <c r="H981" s="67">
        <f>35.2984* CHOOSE(CONTROL!$C$23, $C$13, 100%, $E$13)</f>
        <v>35.298400000000001</v>
      </c>
      <c r="I981" s="67">
        <f>35.3051 * CHOOSE(CONTROL!$C$23, $C$13, 100%, $E$13)</f>
        <v>35.305100000000003</v>
      </c>
      <c r="J981" s="67">
        <f>19.1293 * CHOOSE(CONTROL!$C$23, $C$13, 100%, $E$13)</f>
        <v>19.129300000000001</v>
      </c>
      <c r="K981" s="67">
        <f>19.136 * CHOOSE(CONTROL!$C$23, $C$13, 100%, $E$13)</f>
        <v>19.135999999999999</v>
      </c>
    </row>
    <row r="982" spans="1:11" ht="15">
      <c r="A982" s="13">
        <v>71011</v>
      </c>
      <c r="B982" s="66">
        <f>16.6782 * CHOOSE(CONTROL!$C$23, $C$13, 100%, $E$13)</f>
        <v>16.6782</v>
      </c>
      <c r="C982" s="66">
        <f>16.6782 * CHOOSE(CONTROL!$C$23, $C$13, 100%, $E$13)</f>
        <v>16.6782</v>
      </c>
      <c r="D982" s="66">
        <f>16.6838 * CHOOSE(CONTROL!$C$23, $C$13, 100%, $E$13)</f>
        <v>16.683800000000002</v>
      </c>
      <c r="E982" s="67">
        <f>19.0259 * CHOOSE(CONTROL!$C$23, $C$13, 100%, $E$13)</f>
        <v>19.0259</v>
      </c>
      <c r="F982" s="67">
        <f>19.0259 * CHOOSE(CONTROL!$C$23, $C$13, 100%, $E$13)</f>
        <v>19.0259</v>
      </c>
      <c r="G982" s="67">
        <f>19.0326 * CHOOSE(CONTROL!$C$23, $C$13, 100%, $E$13)</f>
        <v>19.032599999999999</v>
      </c>
      <c r="H982" s="67">
        <f>35.3719* CHOOSE(CONTROL!$C$23, $C$13, 100%, $E$13)</f>
        <v>35.371899999999997</v>
      </c>
      <c r="I982" s="67">
        <f>35.3787 * CHOOSE(CONTROL!$C$23, $C$13, 100%, $E$13)</f>
        <v>35.378700000000002</v>
      </c>
      <c r="J982" s="67">
        <f>19.0259 * CHOOSE(CONTROL!$C$23, $C$13, 100%, $E$13)</f>
        <v>19.0259</v>
      </c>
      <c r="K982" s="67">
        <f>19.0326 * CHOOSE(CONTROL!$C$23, $C$13, 100%, $E$13)</f>
        <v>19.032599999999999</v>
      </c>
    </row>
    <row r="983" spans="1:11" ht="15">
      <c r="A983" s="13">
        <v>71041</v>
      </c>
      <c r="B983" s="66">
        <f>16.9294 * CHOOSE(CONTROL!$C$23, $C$13, 100%, $E$13)</f>
        <v>16.929400000000001</v>
      </c>
      <c r="C983" s="66">
        <f>16.9294 * CHOOSE(CONTROL!$C$23, $C$13, 100%, $E$13)</f>
        <v>16.929400000000001</v>
      </c>
      <c r="D983" s="66">
        <f>16.9349 * CHOOSE(CONTROL!$C$23, $C$13, 100%, $E$13)</f>
        <v>16.934899999999999</v>
      </c>
      <c r="E983" s="67">
        <f>19.3264 * CHOOSE(CONTROL!$C$23, $C$13, 100%, $E$13)</f>
        <v>19.3264</v>
      </c>
      <c r="F983" s="67">
        <f>19.3264 * CHOOSE(CONTROL!$C$23, $C$13, 100%, $E$13)</f>
        <v>19.3264</v>
      </c>
      <c r="G983" s="67">
        <f>19.3331 * CHOOSE(CONTROL!$C$23, $C$13, 100%, $E$13)</f>
        <v>19.333100000000002</v>
      </c>
      <c r="H983" s="67">
        <f>35.4456* CHOOSE(CONTROL!$C$23, $C$13, 100%, $E$13)</f>
        <v>35.445599999999999</v>
      </c>
      <c r="I983" s="67">
        <f>35.4524 * CHOOSE(CONTROL!$C$23, $C$13, 100%, $E$13)</f>
        <v>35.452399999999997</v>
      </c>
      <c r="J983" s="67">
        <f>19.3264 * CHOOSE(CONTROL!$C$23, $C$13, 100%, $E$13)</f>
        <v>19.3264</v>
      </c>
      <c r="K983" s="67">
        <f>19.3331 * CHOOSE(CONTROL!$C$23, $C$13, 100%, $E$13)</f>
        <v>19.333100000000002</v>
      </c>
    </row>
    <row r="984" spans="1:11" ht="15">
      <c r="A984" s="13">
        <v>71072</v>
      </c>
      <c r="B984" s="66">
        <f>16.9361 * CHOOSE(CONTROL!$C$23, $C$13, 100%, $E$13)</f>
        <v>16.9361</v>
      </c>
      <c r="C984" s="66">
        <f>16.9361 * CHOOSE(CONTROL!$C$23, $C$13, 100%, $E$13)</f>
        <v>16.9361</v>
      </c>
      <c r="D984" s="66">
        <f>16.9416 * CHOOSE(CONTROL!$C$23, $C$13, 100%, $E$13)</f>
        <v>16.941600000000001</v>
      </c>
      <c r="E984" s="67">
        <f>19.0083 * CHOOSE(CONTROL!$C$23, $C$13, 100%, $E$13)</f>
        <v>19.008299999999998</v>
      </c>
      <c r="F984" s="67">
        <f>19.0083 * CHOOSE(CONTROL!$C$23, $C$13, 100%, $E$13)</f>
        <v>19.008299999999998</v>
      </c>
      <c r="G984" s="67">
        <f>19.015 * CHOOSE(CONTROL!$C$23, $C$13, 100%, $E$13)</f>
        <v>19.015000000000001</v>
      </c>
      <c r="H984" s="67">
        <f>35.5195* CHOOSE(CONTROL!$C$23, $C$13, 100%, $E$13)</f>
        <v>35.519500000000001</v>
      </c>
      <c r="I984" s="67">
        <f>35.5262 * CHOOSE(CONTROL!$C$23, $C$13, 100%, $E$13)</f>
        <v>35.526200000000003</v>
      </c>
      <c r="J984" s="67">
        <f>19.0083 * CHOOSE(CONTROL!$C$23, $C$13, 100%, $E$13)</f>
        <v>19.008299999999998</v>
      </c>
      <c r="K984" s="67">
        <f>19.015 * CHOOSE(CONTROL!$C$23, $C$13, 100%, $E$13)</f>
        <v>19.015000000000001</v>
      </c>
    </row>
    <row r="985" spans="1:11" ht="15">
      <c r="A985" s="13">
        <v>71103</v>
      </c>
      <c r="B985" s="66">
        <f>16.933 * CHOOSE(CONTROL!$C$23, $C$13, 100%, $E$13)</f>
        <v>16.933</v>
      </c>
      <c r="C985" s="66">
        <f>16.933 * CHOOSE(CONTROL!$C$23, $C$13, 100%, $E$13)</f>
        <v>16.933</v>
      </c>
      <c r="D985" s="66">
        <f>16.9385 * CHOOSE(CONTROL!$C$23, $C$13, 100%, $E$13)</f>
        <v>16.938500000000001</v>
      </c>
      <c r="E985" s="67">
        <f>18.9703 * CHOOSE(CONTROL!$C$23, $C$13, 100%, $E$13)</f>
        <v>18.970300000000002</v>
      </c>
      <c r="F985" s="67">
        <f>18.9703 * CHOOSE(CONTROL!$C$23, $C$13, 100%, $E$13)</f>
        <v>18.970300000000002</v>
      </c>
      <c r="G985" s="67">
        <f>18.977 * CHOOSE(CONTROL!$C$23, $C$13, 100%, $E$13)</f>
        <v>18.977</v>
      </c>
      <c r="H985" s="67">
        <f>35.5935* CHOOSE(CONTROL!$C$23, $C$13, 100%, $E$13)</f>
        <v>35.593499999999999</v>
      </c>
      <c r="I985" s="67">
        <f>35.6002 * CHOOSE(CONTROL!$C$23, $C$13, 100%, $E$13)</f>
        <v>35.600200000000001</v>
      </c>
      <c r="J985" s="67">
        <f>18.9703 * CHOOSE(CONTROL!$C$23, $C$13, 100%, $E$13)</f>
        <v>18.970300000000002</v>
      </c>
      <c r="K985" s="67">
        <f>18.977 * CHOOSE(CONTROL!$C$23, $C$13, 100%, $E$13)</f>
        <v>18.977</v>
      </c>
    </row>
    <row r="986" spans="1:11" ht="15">
      <c r="A986" s="13">
        <v>71133</v>
      </c>
      <c r="B986" s="66">
        <f>16.9696 * CHOOSE(CONTROL!$C$23, $C$13, 100%, $E$13)</f>
        <v>16.9696</v>
      </c>
      <c r="C986" s="66">
        <f>16.9696 * CHOOSE(CONTROL!$C$23, $C$13, 100%, $E$13)</f>
        <v>16.9696</v>
      </c>
      <c r="D986" s="66">
        <f>16.9735 * CHOOSE(CONTROL!$C$23, $C$13, 100%, $E$13)</f>
        <v>16.973500000000001</v>
      </c>
      <c r="E986" s="67">
        <f>19.1003 * CHOOSE(CONTROL!$C$23, $C$13, 100%, $E$13)</f>
        <v>19.100300000000001</v>
      </c>
      <c r="F986" s="67">
        <f>19.1003 * CHOOSE(CONTROL!$C$23, $C$13, 100%, $E$13)</f>
        <v>19.100300000000001</v>
      </c>
      <c r="G986" s="67">
        <f>19.1051 * CHOOSE(CONTROL!$C$23, $C$13, 100%, $E$13)</f>
        <v>19.1051</v>
      </c>
      <c r="H986" s="67">
        <f>35.6676* CHOOSE(CONTROL!$C$23, $C$13, 100%, $E$13)</f>
        <v>35.6676</v>
      </c>
      <c r="I986" s="67">
        <f>35.6724 * CHOOSE(CONTROL!$C$23, $C$13, 100%, $E$13)</f>
        <v>35.672400000000003</v>
      </c>
      <c r="J986" s="67">
        <f>19.1003 * CHOOSE(CONTROL!$C$23, $C$13, 100%, $E$13)</f>
        <v>19.100300000000001</v>
      </c>
      <c r="K986" s="67">
        <f>19.1051 * CHOOSE(CONTROL!$C$23, $C$13, 100%, $E$13)</f>
        <v>19.1051</v>
      </c>
    </row>
    <row r="987" spans="1:11" ht="15">
      <c r="A987" s="13">
        <v>71164</v>
      </c>
      <c r="B987" s="66">
        <f>16.9727 * CHOOSE(CONTROL!$C$23, $C$13, 100%, $E$13)</f>
        <v>16.9727</v>
      </c>
      <c r="C987" s="66">
        <f>16.9727 * CHOOSE(CONTROL!$C$23, $C$13, 100%, $E$13)</f>
        <v>16.9727</v>
      </c>
      <c r="D987" s="66">
        <f>16.9765 * CHOOSE(CONTROL!$C$23, $C$13, 100%, $E$13)</f>
        <v>16.976500000000001</v>
      </c>
      <c r="E987" s="67">
        <f>19.1742 * CHOOSE(CONTROL!$C$23, $C$13, 100%, $E$13)</f>
        <v>19.174199999999999</v>
      </c>
      <c r="F987" s="67">
        <f>19.1742 * CHOOSE(CONTROL!$C$23, $C$13, 100%, $E$13)</f>
        <v>19.174199999999999</v>
      </c>
      <c r="G987" s="67">
        <f>19.1789 * CHOOSE(CONTROL!$C$23, $C$13, 100%, $E$13)</f>
        <v>19.178899999999999</v>
      </c>
      <c r="H987" s="67">
        <f>35.7419* CHOOSE(CONTROL!$C$23, $C$13, 100%, $E$13)</f>
        <v>35.741900000000001</v>
      </c>
      <c r="I987" s="67">
        <f>35.7467 * CHOOSE(CONTROL!$C$23, $C$13, 100%, $E$13)</f>
        <v>35.746699999999997</v>
      </c>
      <c r="J987" s="67">
        <f>19.1742 * CHOOSE(CONTROL!$C$23, $C$13, 100%, $E$13)</f>
        <v>19.174199999999999</v>
      </c>
      <c r="K987" s="67">
        <f>19.1789 * CHOOSE(CONTROL!$C$23, $C$13, 100%, $E$13)</f>
        <v>19.178899999999999</v>
      </c>
    </row>
    <row r="988" spans="1:11" ht="15">
      <c r="A988" s="13">
        <v>71194</v>
      </c>
      <c r="B988" s="66">
        <f>16.9727 * CHOOSE(CONTROL!$C$23, $C$13, 100%, $E$13)</f>
        <v>16.9727</v>
      </c>
      <c r="C988" s="66">
        <f>16.9727 * CHOOSE(CONTROL!$C$23, $C$13, 100%, $E$13)</f>
        <v>16.9727</v>
      </c>
      <c r="D988" s="66">
        <f>16.9765 * CHOOSE(CONTROL!$C$23, $C$13, 100%, $E$13)</f>
        <v>16.976500000000001</v>
      </c>
      <c r="E988" s="67">
        <f>18.9948 * CHOOSE(CONTROL!$C$23, $C$13, 100%, $E$13)</f>
        <v>18.994800000000001</v>
      </c>
      <c r="F988" s="67">
        <f>18.9948 * CHOOSE(CONTROL!$C$23, $C$13, 100%, $E$13)</f>
        <v>18.994800000000001</v>
      </c>
      <c r="G988" s="67">
        <f>18.9996 * CHOOSE(CONTROL!$C$23, $C$13, 100%, $E$13)</f>
        <v>18.999600000000001</v>
      </c>
      <c r="H988" s="67">
        <f>35.8164* CHOOSE(CONTROL!$C$23, $C$13, 100%, $E$13)</f>
        <v>35.816400000000002</v>
      </c>
      <c r="I988" s="67">
        <f>35.8211 * CHOOSE(CONTROL!$C$23, $C$13, 100%, $E$13)</f>
        <v>35.821100000000001</v>
      </c>
      <c r="J988" s="67">
        <f>18.9948 * CHOOSE(CONTROL!$C$23, $C$13, 100%, $E$13)</f>
        <v>18.994800000000001</v>
      </c>
      <c r="K988" s="67">
        <f>18.9996 * CHOOSE(CONTROL!$C$23, $C$13, 100%, $E$13)</f>
        <v>18.999600000000001</v>
      </c>
    </row>
    <row r="989" spans="1:11" ht="15">
      <c r="A989" s="13">
        <v>71225</v>
      </c>
      <c r="B989" s="66">
        <f>16.9056 * CHOOSE(CONTROL!$C$23, $C$13, 100%, $E$13)</f>
        <v>16.9056</v>
      </c>
      <c r="C989" s="66">
        <f>16.9056 * CHOOSE(CONTROL!$C$23, $C$13, 100%, $E$13)</f>
        <v>16.9056</v>
      </c>
      <c r="D989" s="66">
        <f>16.9095 * CHOOSE(CONTROL!$C$23, $C$13, 100%, $E$13)</f>
        <v>16.909500000000001</v>
      </c>
      <c r="E989" s="67">
        <f>19.0697 * CHOOSE(CONTROL!$C$23, $C$13, 100%, $E$13)</f>
        <v>19.069700000000001</v>
      </c>
      <c r="F989" s="67">
        <f>19.0697 * CHOOSE(CONTROL!$C$23, $C$13, 100%, $E$13)</f>
        <v>19.069700000000001</v>
      </c>
      <c r="G989" s="67">
        <f>19.0744 * CHOOSE(CONTROL!$C$23, $C$13, 100%, $E$13)</f>
        <v>19.074400000000001</v>
      </c>
      <c r="H989" s="67">
        <f>35.4883* CHOOSE(CONTROL!$C$23, $C$13, 100%, $E$13)</f>
        <v>35.488300000000002</v>
      </c>
      <c r="I989" s="67">
        <f>35.4931 * CHOOSE(CONTROL!$C$23, $C$13, 100%, $E$13)</f>
        <v>35.493099999999998</v>
      </c>
      <c r="J989" s="67">
        <f>19.0697 * CHOOSE(CONTROL!$C$23, $C$13, 100%, $E$13)</f>
        <v>19.069700000000001</v>
      </c>
      <c r="K989" s="67">
        <f>19.0744 * CHOOSE(CONTROL!$C$23, $C$13, 100%, $E$13)</f>
        <v>19.074400000000001</v>
      </c>
    </row>
    <row r="990" spans="1:11" ht="15">
      <c r="A990" s="13">
        <v>71256</v>
      </c>
      <c r="B990" s="66">
        <f>16.9025 * CHOOSE(CONTROL!$C$23, $C$13, 100%, $E$13)</f>
        <v>16.9025</v>
      </c>
      <c r="C990" s="66">
        <f>16.9025 * CHOOSE(CONTROL!$C$23, $C$13, 100%, $E$13)</f>
        <v>16.9025</v>
      </c>
      <c r="D990" s="66">
        <f>16.9064 * CHOOSE(CONTROL!$C$23, $C$13, 100%, $E$13)</f>
        <v>16.906400000000001</v>
      </c>
      <c r="E990" s="67">
        <f>18.7237 * CHOOSE(CONTROL!$C$23, $C$13, 100%, $E$13)</f>
        <v>18.723700000000001</v>
      </c>
      <c r="F990" s="67">
        <f>18.7237 * CHOOSE(CONTROL!$C$23, $C$13, 100%, $E$13)</f>
        <v>18.723700000000001</v>
      </c>
      <c r="G990" s="67">
        <f>18.7284 * CHOOSE(CONTROL!$C$23, $C$13, 100%, $E$13)</f>
        <v>18.728400000000001</v>
      </c>
      <c r="H990" s="67">
        <f>35.5622* CHOOSE(CONTROL!$C$23, $C$13, 100%, $E$13)</f>
        <v>35.562199999999997</v>
      </c>
      <c r="I990" s="67">
        <f>35.567 * CHOOSE(CONTROL!$C$23, $C$13, 100%, $E$13)</f>
        <v>35.567</v>
      </c>
      <c r="J990" s="67">
        <f>18.7237 * CHOOSE(CONTROL!$C$23, $C$13, 100%, $E$13)</f>
        <v>18.723700000000001</v>
      </c>
      <c r="K990" s="67">
        <f>18.7284 * CHOOSE(CONTROL!$C$23, $C$13, 100%, $E$13)</f>
        <v>18.728400000000001</v>
      </c>
    </row>
    <row r="991" spans="1:11" ht="15">
      <c r="A991" s="13">
        <v>71284</v>
      </c>
      <c r="B991" s="66">
        <f>16.8995 * CHOOSE(CONTROL!$C$23, $C$13, 100%, $E$13)</f>
        <v>16.8995</v>
      </c>
      <c r="C991" s="66">
        <f>16.8995 * CHOOSE(CONTROL!$C$23, $C$13, 100%, $E$13)</f>
        <v>16.8995</v>
      </c>
      <c r="D991" s="66">
        <f>16.9034 * CHOOSE(CONTROL!$C$23, $C$13, 100%, $E$13)</f>
        <v>16.903400000000001</v>
      </c>
      <c r="E991" s="67">
        <f>18.9926 * CHOOSE(CONTROL!$C$23, $C$13, 100%, $E$13)</f>
        <v>18.992599999999999</v>
      </c>
      <c r="F991" s="67">
        <f>18.9926 * CHOOSE(CONTROL!$C$23, $C$13, 100%, $E$13)</f>
        <v>18.992599999999999</v>
      </c>
      <c r="G991" s="67">
        <f>18.9974 * CHOOSE(CONTROL!$C$23, $C$13, 100%, $E$13)</f>
        <v>18.997399999999999</v>
      </c>
      <c r="H991" s="67">
        <f>35.6363* CHOOSE(CONTROL!$C$23, $C$13, 100%, $E$13)</f>
        <v>35.636299999999999</v>
      </c>
      <c r="I991" s="67">
        <f>35.6411 * CHOOSE(CONTROL!$C$23, $C$13, 100%, $E$13)</f>
        <v>35.641100000000002</v>
      </c>
      <c r="J991" s="67">
        <f>18.9926 * CHOOSE(CONTROL!$C$23, $C$13, 100%, $E$13)</f>
        <v>18.992599999999999</v>
      </c>
      <c r="K991" s="67">
        <f>18.9974 * CHOOSE(CONTROL!$C$23, $C$13, 100%, $E$13)</f>
        <v>18.997399999999999</v>
      </c>
    </row>
    <row r="992" spans="1:11" ht="15">
      <c r="A992" s="13">
        <v>71315</v>
      </c>
      <c r="B992" s="66">
        <f>16.9079 * CHOOSE(CONTROL!$C$23, $C$13, 100%, $E$13)</f>
        <v>16.907900000000001</v>
      </c>
      <c r="C992" s="66">
        <f>16.9079 * CHOOSE(CONTROL!$C$23, $C$13, 100%, $E$13)</f>
        <v>16.907900000000001</v>
      </c>
      <c r="D992" s="66">
        <f>16.9118 * CHOOSE(CONTROL!$C$23, $C$13, 100%, $E$13)</f>
        <v>16.911799999999999</v>
      </c>
      <c r="E992" s="67">
        <f>19.2795 * CHOOSE(CONTROL!$C$23, $C$13, 100%, $E$13)</f>
        <v>19.279499999999999</v>
      </c>
      <c r="F992" s="67">
        <f>19.2795 * CHOOSE(CONTROL!$C$23, $C$13, 100%, $E$13)</f>
        <v>19.279499999999999</v>
      </c>
      <c r="G992" s="67">
        <f>19.2843 * CHOOSE(CONTROL!$C$23, $C$13, 100%, $E$13)</f>
        <v>19.284300000000002</v>
      </c>
      <c r="H992" s="67">
        <f>35.7106* CHOOSE(CONTROL!$C$23, $C$13, 100%, $E$13)</f>
        <v>35.710599999999999</v>
      </c>
      <c r="I992" s="67">
        <f>35.7153 * CHOOSE(CONTROL!$C$23, $C$13, 100%, $E$13)</f>
        <v>35.715299999999999</v>
      </c>
      <c r="J992" s="67">
        <f>19.2795 * CHOOSE(CONTROL!$C$23, $C$13, 100%, $E$13)</f>
        <v>19.279499999999999</v>
      </c>
      <c r="K992" s="67">
        <f>19.2843 * CHOOSE(CONTROL!$C$23, $C$13, 100%, $E$13)</f>
        <v>19.284300000000002</v>
      </c>
    </row>
    <row r="993" spans="1:11" ht="15">
      <c r="A993" s="13">
        <v>71345</v>
      </c>
      <c r="B993" s="66">
        <f>16.9079 * CHOOSE(CONTROL!$C$23, $C$13, 100%, $E$13)</f>
        <v>16.907900000000001</v>
      </c>
      <c r="C993" s="66">
        <f>16.9079 * CHOOSE(CONTROL!$C$23, $C$13, 100%, $E$13)</f>
        <v>16.907900000000001</v>
      </c>
      <c r="D993" s="66">
        <f>16.9134 * CHOOSE(CONTROL!$C$23, $C$13, 100%, $E$13)</f>
        <v>16.913399999999999</v>
      </c>
      <c r="E993" s="67">
        <f>19.3887 * CHOOSE(CONTROL!$C$23, $C$13, 100%, $E$13)</f>
        <v>19.3887</v>
      </c>
      <c r="F993" s="67">
        <f>19.3887 * CHOOSE(CONTROL!$C$23, $C$13, 100%, $E$13)</f>
        <v>19.3887</v>
      </c>
      <c r="G993" s="67">
        <f>19.3954 * CHOOSE(CONTROL!$C$23, $C$13, 100%, $E$13)</f>
        <v>19.395399999999999</v>
      </c>
      <c r="H993" s="67">
        <f>35.785* CHOOSE(CONTROL!$C$23, $C$13, 100%, $E$13)</f>
        <v>35.784999999999997</v>
      </c>
      <c r="I993" s="67">
        <f>35.7917 * CHOOSE(CONTROL!$C$23, $C$13, 100%, $E$13)</f>
        <v>35.791699999999999</v>
      </c>
      <c r="J993" s="67">
        <f>19.3887 * CHOOSE(CONTROL!$C$23, $C$13, 100%, $E$13)</f>
        <v>19.3887</v>
      </c>
      <c r="K993" s="67">
        <f>19.3954 * CHOOSE(CONTROL!$C$23, $C$13, 100%, $E$13)</f>
        <v>19.395399999999999</v>
      </c>
    </row>
    <row r="994" spans="1:11" ht="15">
      <c r="A994" s="13">
        <v>71376</v>
      </c>
      <c r="B994" s="66">
        <f>16.914 * CHOOSE(CONTROL!$C$23, $C$13, 100%, $E$13)</f>
        <v>16.914000000000001</v>
      </c>
      <c r="C994" s="66">
        <f>16.914 * CHOOSE(CONTROL!$C$23, $C$13, 100%, $E$13)</f>
        <v>16.914000000000001</v>
      </c>
      <c r="D994" s="66">
        <f>16.9195 * CHOOSE(CONTROL!$C$23, $C$13, 100%, $E$13)</f>
        <v>16.919499999999999</v>
      </c>
      <c r="E994" s="67">
        <f>19.2838 * CHOOSE(CONTROL!$C$23, $C$13, 100%, $E$13)</f>
        <v>19.283799999999999</v>
      </c>
      <c r="F994" s="67">
        <f>19.2838 * CHOOSE(CONTROL!$C$23, $C$13, 100%, $E$13)</f>
        <v>19.283799999999999</v>
      </c>
      <c r="G994" s="67">
        <f>19.2905 * CHOOSE(CONTROL!$C$23, $C$13, 100%, $E$13)</f>
        <v>19.290500000000002</v>
      </c>
      <c r="H994" s="67">
        <f>35.8595* CHOOSE(CONTROL!$C$23, $C$13, 100%, $E$13)</f>
        <v>35.859499999999997</v>
      </c>
      <c r="I994" s="67">
        <f>35.8663 * CHOOSE(CONTROL!$C$23, $C$13, 100%, $E$13)</f>
        <v>35.866300000000003</v>
      </c>
      <c r="J994" s="67">
        <f>19.2838 * CHOOSE(CONTROL!$C$23, $C$13, 100%, $E$13)</f>
        <v>19.283799999999999</v>
      </c>
      <c r="K994" s="67">
        <f>19.2905 * CHOOSE(CONTROL!$C$23, $C$13, 100%, $E$13)</f>
        <v>19.290500000000002</v>
      </c>
    </row>
    <row r="995" spans="1:11" ht="15">
      <c r="A995" s="13">
        <v>71406</v>
      </c>
      <c r="B995" s="66">
        <f>17.1686 * CHOOSE(CONTROL!$C$23, $C$13, 100%, $E$13)</f>
        <v>17.168600000000001</v>
      </c>
      <c r="C995" s="66">
        <f>17.1686 * CHOOSE(CONTROL!$C$23, $C$13, 100%, $E$13)</f>
        <v>17.168600000000001</v>
      </c>
      <c r="D995" s="66">
        <f>17.1741 * CHOOSE(CONTROL!$C$23, $C$13, 100%, $E$13)</f>
        <v>17.174099999999999</v>
      </c>
      <c r="E995" s="67">
        <f>19.5882 * CHOOSE(CONTROL!$C$23, $C$13, 100%, $E$13)</f>
        <v>19.588200000000001</v>
      </c>
      <c r="F995" s="67">
        <f>19.5882 * CHOOSE(CONTROL!$C$23, $C$13, 100%, $E$13)</f>
        <v>19.588200000000001</v>
      </c>
      <c r="G995" s="67">
        <f>19.5949 * CHOOSE(CONTROL!$C$23, $C$13, 100%, $E$13)</f>
        <v>19.594899999999999</v>
      </c>
      <c r="H995" s="67">
        <f>35.9342* CHOOSE(CONTROL!$C$23, $C$13, 100%, $E$13)</f>
        <v>35.934199999999997</v>
      </c>
      <c r="I995" s="67">
        <f>35.941 * CHOOSE(CONTROL!$C$23, $C$13, 100%, $E$13)</f>
        <v>35.941000000000003</v>
      </c>
      <c r="J995" s="67">
        <f>19.5882 * CHOOSE(CONTROL!$C$23, $C$13, 100%, $E$13)</f>
        <v>19.588200000000001</v>
      </c>
      <c r="K995" s="67">
        <f>19.5949 * CHOOSE(CONTROL!$C$23, $C$13, 100%, $E$13)</f>
        <v>19.594899999999999</v>
      </c>
    </row>
    <row r="996" spans="1:11" ht="15">
      <c r="A996" s="13">
        <v>71437</v>
      </c>
      <c r="B996" s="66">
        <f>17.1753 * CHOOSE(CONTROL!$C$23, $C$13, 100%, $E$13)</f>
        <v>17.1753</v>
      </c>
      <c r="C996" s="66">
        <f>17.1753 * CHOOSE(CONTROL!$C$23, $C$13, 100%, $E$13)</f>
        <v>17.1753</v>
      </c>
      <c r="D996" s="66">
        <f>17.1808 * CHOOSE(CONTROL!$C$23, $C$13, 100%, $E$13)</f>
        <v>17.180800000000001</v>
      </c>
      <c r="E996" s="67">
        <f>19.2653 * CHOOSE(CONTROL!$C$23, $C$13, 100%, $E$13)</f>
        <v>19.2653</v>
      </c>
      <c r="F996" s="67">
        <f>19.2653 * CHOOSE(CONTROL!$C$23, $C$13, 100%, $E$13)</f>
        <v>19.2653</v>
      </c>
      <c r="G996" s="67">
        <f>19.2721 * CHOOSE(CONTROL!$C$23, $C$13, 100%, $E$13)</f>
        <v>19.272099999999998</v>
      </c>
      <c r="H996" s="67">
        <f>36.0091* CHOOSE(CONTROL!$C$23, $C$13, 100%, $E$13)</f>
        <v>36.009099999999997</v>
      </c>
      <c r="I996" s="67">
        <f>36.0158 * CHOOSE(CONTROL!$C$23, $C$13, 100%, $E$13)</f>
        <v>36.015799999999999</v>
      </c>
      <c r="J996" s="67">
        <f>19.2653 * CHOOSE(CONTROL!$C$23, $C$13, 100%, $E$13)</f>
        <v>19.2653</v>
      </c>
      <c r="K996" s="67">
        <f>19.2721 * CHOOSE(CONTROL!$C$23, $C$13, 100%, $E$13)</f>
        <v>19.272099999999998</v>
      </c>
    </row>
    <row r="997" spans="1:11" ht="15">
      <c r="A997" s="13">
        <v>71468</v>
      </c>
      <c r="B997" s="66">
        <f>17.1722 * CHOOSE(CONTROL!$C$23, $C$13, 100%, $E$13)</f>
        <v>17.1722</v>
      </c>
      <c r="C997" s="66">
        <f>17.1722 * CHOOSE(CONTROL!$C$23, $C$13, 100%, $E$13)</f>
        <v>17.1722</v>
      </c>
      <c r="D997" s="66">
        <f>17.1777 * CHOOSE(CONTROL!$C$23, $C$13, 100%, $E$13)</f>
        <v>17.177700000000002</v>
      </c>
      <c r="E997" s="67">
        <f>19.2268 * CHOOSE(CONTROL!$C$23, $C$13, 100%, $E$13)</f>
        <v>19.226800000000001</v>
      </c>
      <c r="F997" s="67">
        <f>19.2268 * CHOOSE(CONTROL!$C$23, $C$13, 100%, $E$13)</f>
        <v>19.226800000000001</v>
      </c>
      <c r="G997" s="67">
        <f>19.2335 * CHOOSE(CONTROL!$C$23, $C$13, 100%, $E$13)</f>
        <v>19.233499999999999</v>
      </c>
      <c r="H997" s="67">
        <f>36.0841* CHOOSE(CONTROL!$C$23, $C$13, 100%, $E$13)</f>
        <v>36.084099999999999</v>
      </c>
      <c r="I997" s="67">
        <f>36.0908 * CHOOSE(CONTROL!$C$23, $C$13, 100%, $E$13)</f>
        <v>36.090800000000002</v>
      </c>
      <c r="J997" s="67">
        <f>19.2268 * CHOOSE(CONTROL!$C$23, $C$13, 100%, $E$13)</f>
        <v>19.226800000000001</v>
      </c>
      <c r="K997" s="67">
        <f>19.2335 * CHOOSE(CONTROL!$C$23, $C$13, 100%, $E$13)</f>
        <v>19.233499999999999</v>
      </c>
    </row>
    <row r="998" spans="1:11" ht="15">
      <c r="A998" s="13">
        <v>71498</v>
      </c>
      <c r="B998" s="66">
        <f>17.2096 * CHOOSE(CONTROL!$C$23, $C$13, 100%, $E$13)</f>
        <v>17.209599999999998</v>
      </c>
      <c r="C998" s="66">
        <f>17.2096 * CHOOSE(CONTROL!$C$23, $C$13, 100%, $E$13)</f>
        <v>17.209599999999998</v>
      </c>
      <c r="D998" s="66">
        <f>17.2134 * CHOOSE(CONTROL!$C$23, $C$13, 100%, $E$13)</f>
        <v>17.2134</v>
      </c>
      <c r="E998" s="67">
        <f>19.359 * CHOOSE(CONTROL!$C$23, $C$13, 100%, $E$13)</f>
        <v>19.359000000000002</v>
      </c>
      <c r="F998" s="67">
        <f>19.359 * CHOOSE(CONTROL!$C$23, $C$13, 100%, $E$13)</f>
        <v>19.359000000000002</v>
      </c>
      <c r="G998" s="67">
        <f>19.3637 * CHOOSE(CONTROL!$C$23, $C$13, 100%, $E$13)</f>
        <v>19.363700000000001</v>
      </c>
      <c r="H998" s="67">
        <f>36.1593* CHOOSE(CONTROL!$C$23, $C$13, 100%, $E$13)</f>
        <v>36.159300000000002</v>
      </c>
      <c r="I998" s="67">
        <f>36.164 * CHOOSE(CONTROL!$C$23, $C$13, 100%, $E$13)</f>
        <v>36.164000000000001</v>
      </c>
      <c r="J998" s="67">
        <f>19.359 * CHOOSE(CONTROL!$C$23, $C$13, 100%, $E$13)</f>
        <v>19.359000000000002</v>
      </c>
      <c r="K998" s="67">
        <f>19.3637 * CHOOSE(CONTROL!$C$23, $C$13, 100%, $E$13)</f>
        <v>19.363700000000001</v>
      </c>
    </row>
    <row r="999" spans="1:11" ht="15">
      <c r="A999" s="13">
        <v>71529</v>
      </c>
      <c r="B999" s="66">
        <f>17.2126 * CHOOSE(CONTROL!$C$23, $C$13, 100%, $E$13)</f>
        <v>17.212599999999998</v>
      </c>
      <c r="C999" s="66">
        <f>17.2126 * CHOOSE(CONTROL!$C$23, $C$13, 100%, $E$13)</f>
        <v>17.212599999999998</v>
      </c>
      <c r="D999" s="66">
        <f>17.2165 * CHOOSE(CONTROL!$C$23, $C$13, 100%, $E$13)</f>
        <v>17.2165</v>
      </c>
      <c r="E999" s="67">
        <f>19.4339 * CHOOSE(CONTROL!$C$23, $C$13, 100%, $E$13)</f>
        <v>19.433900000000001</v>
      </c>
      <c r="F999" s="67">
        <f>19.4339 * CHOOSE(CONTROL!$C$23, $C$13, 100%, $E$13)</f>
        <v>19.433900000000001</v>
      </c>
      <c r="G999" s="67">
        <f>19.4386 * CHOOSE(CONTROL!$C$23, $C$13, 100%, $E$13)</f>
        <v>19.438600000000001</v>
      </c>
      <c r="H999" s="67">
        <f>36.2346* CHOOSE(CONTROL!$C$23, $C$13, 100%, $E$13)</f>
        <v>36.2346</v>
      </c>
      <c r="I999" s="67">
        <f>36.2394 * CHOOSE(CONTROL!$C$23, $C$13, 100%, $E$13)</f>
        <v>36.239400000000003</v>
      </c>
      <c r="J999" s="67">
        <f>19.4339 * CHOOSE(CONTROL!$C$23, $C$13, 100%, $E$13)</f>
        <v>19.433900000000001</v>
      </c>
      <c r="K999" s="67">
        <f>19.4386 * CHOOSE(CONTROL!$C$23, $C$13, 100%, $E$13)</f>
        <v>19.438600000000001</v>
      </c>
    </row>
    <row r="1000" spans="1:11" ht="15">
      <c r="A1000" s="13">
        <v>71559</v>
      </c>
      <c r="B1000" s="66">
        <f>17.2126 * CHOOSE(CONTROL!$C$23, $C$13, 100%, $E$13)</f>
        <v>17.212599999999998</v>
      </c>
      <c r="C1000" s="66">
        <f>17.2126 * CHOOSE(CONTROL!$C$23, $C$13, 100%, $E$13)</f>
        <v>17.212599999999998</v>
      </c>
      <c r="D1000" s="66">
        <f>17.2165 * CHOOSE(CONTROL!$C$23, $C$13, 100%, $E$13)</f>
        <v>17.2165</v>
      </c>
      <c r="E1000" s="67">
        <f>19.2519 * CHOOSE(CONTROL!$C$23, $C$13, 100%, $E$13)</f>
        <v>19.251899999999999</v>
      </c>
      <c r="F1000" s="67">
        <f>19.2519 * CHOOSE(CONTROL!$C$23, $C$13, 100%, $E$13)</f>
        <v>19.251899999999999</v>
      </c>
      <c r="G1000" s="67">
        <f>19.2567 * CHOOSE(CONTROL!$C$23, $C$13, 100%, $E$13)</f>
        <v>19.256699999999999</v>
      </c>
      <c r="H1000" s="67">
        <f>36.3101* CHOOSE(CONTROL!$C$23, $C$13, 100%, $E$13)</f>
        <v>36.310099999999998</v>
      </c>
      <c r="I1000" s="67">
        <f>36.3149 * CHOOSE(CONTROL!$C$23, $C$13, 100%, $E$13)</f>
        <v>36.314900000000002</v>
      </c>
      <c r="J1000" s="67">
        <f>19.2519 * CHOOSE(CONTROL!$C$23, $C$13, 100%, $E$13)</f>
        <v>19.251899999999999</v>
      </c>
      <c r="K1000" s="67">
        <f>19.2567 * CHOOSE(CONTROL!$C$23, $C$13, 100%, $E$13)</f>
        <v>19.256699999999999</v>
      </c>
    </row>
    <row r="1001" spans="1:11" ht="15">
      <c r="A1001" s="13">
        <v>71590</v>
      </c>
      <c r="B1001" s="66">
        <f>17.1412 * CHOOSE(CONTROL!$C$23, $C$13, 100%, $E$13)</f>
        <v>17.141200000000001</v>
      </c>
      <c r="C1001" s="66">
        <f>17.1412 * CHOOSE(CONTROL!$C$23, $C$13, 100%, $E$13)</f>
        <v>17.141200000000001</v>
      </c>
      <c r="D1001" s="66">
        <f>17.145 * CHOOSE(CONTROL!$C$23, $C$13, 100%, $E$13)</f>
        <v>17.145</v>
      </c>
      <c r="E1001" s="67">
        <f>19.3244 * CHOOSE(CONTROL!$C$23, $C$13, 100%, $E$13)</f>
        <v>19.324400000000001</v>
      </c>
      <c r="F1001" s="67">
        <f>19.3244 * CHOOSE(CONTROL!$C$23, $C$13, 100%, $E$13)</f>
        <v>19.324400000000001</v>
      </c>
      <c r="G1001" s="67">
        <f>19.3291 * CHOOSE(CONTROL!$C$23, $C$13, 100%, $E$13)</f>
        <v>19.3291</v>
      </c>
      <c r="H1001" s="67">
        <f>35.9708* CHOOSE(CONTROL!$C$23, $C$13, 100%, $E$13)</f>
        <v>35.970799999999997</v>
      </c>
      <c r="I1001" s="67">
        <f>35.9756 * CHOOSE(CONTROL!$C$23, $C$13, 100%, $E$13)</f>
        <v>35.9756</v>
      </c>
      <c r="J1001" s="67">
        <f>19.3244 * CHOOSE(CONTROL!$C$23, $C$13, 100%, $E$13)</f>
        <v>19.324400000000001</v>
      </c>
      <c r="K1001" s="67">
        <f>19.3291 * CHOOSE(CONTROL!$C$23, $C$13, 100%, $E$13)</f>
        <v>19.3291</v>
      </c>
    </row>
    <row r="1002" spans="1:11" ht="15">
      <c r="A1002" s="13">
        <v>71621</v>
      </c>
      <c r="B1002" s="66">
        <f>17.1381 * CHOOSE(CONTROL!$C$23, $C$13, 100%, $E$13)</f>
        <v>17.138100000000001</v>
      </c>
      <c r="C1002" s="66">
        <f>17.1381 * CHOOSE(CONTROL!$C$23, $C$13, 100%, $E$13)</f>
        <v>17.138100000000001</v>
      </c>
      <c r="D1002" s="66">
        <f>17.142 * CHOOSE(CONTROL!$C$23, $C$13, 100%, $E$13)</f>
        <v>17.141999999999999</v>
      </c>
      <c r="E1002" s="67">
        <f>18.9735 * CHOOSE(CONTROL!$C$23, $C$13, 100%, $E$13)</f>
        <v>18.973500000000001</v>
      </c>
      <c r="F1002" s="67">
        <f>18.9735 * CHOOSE(CONTROL!$C$23, $C$13, 100%, $E$13)</f>
        <v>18.973500000000001</v>
      </c>
      <c r="G1002" s="67">
        <f>18.9782 * CHOOSE(CONTROL!$C$23, $C$13, 100%, $E$13)</f>
        <v>18.978200000000001</v>
      </c>
      <c r="H1002" s="67">
        <f>36.0458* CHOOSE(CONTROL!$C$23, $C$13, 100%, $E$13)</f>
        <v>36.0458</v>
      </c>
      <c r="I1002" s="67">
        <f>36.0506 * CHOOSE(CONTROL!$C$23, $C$13, 100%, $E$13)</f>
        <v>36.050600000000003</v>
      </c>
      <c r="J1002" s="67">
        <f>18.9735 * CHOOSE(CONTROL!$C$23, $C$13, 100%, $E$13)</f>
        <v>18.973500000000001</v>
      </c>
      <c r="K1002" s="67">
        <f>18.9782 * CHOOSE(CONTROL!$C$23, $C$13, 100%, $E$13)</f>
        <v>18.978200000000001</v>
      </c>
    </row>
    <row r="1003" spans="1:11" ht="15">
      <c r="A1003" s="13">
        <v>71650</v>
      </c>
      <c r="B1003" s="66">
        <f>17.1351 * CHOOSE(CONTROL!$C$23, $C$13, 100%, $E$13)</f>
        <v>17.135100000000001</v>
      </c>
      <c r="C1003" s="66">
        <f>17.1351 * CHOOSE(CONTROL!$C$23, $C$13, 100%, $E$13)</f>
        <v>17.135100000000001</v>
      </c>
      <c r="D1003" s="66">
        <f>17.1389 * CHOOSE(CONTROL!$C$23, $C$13, 100%, $E$13)</f>
        <v>17.1389</v>
      </c>
      <c r="E1003" s="67">
        <f>19.2463 * CHOOSE(CONTROL!$C$23, $C$13, 100%, $E$13)</f>
        <v>19.246300000000002</v>
      </c>
      <c r="F1003" s="67">
        <f>19.2463 * CHOOSE(CONTROL!$C$23, $C$13, 100%, $E$13)</f>
        <v>19.246300000000002</v>
      </c>
      <c r="G1003" s="67">
        <f>19.2511 * CHOOSE(CONTROL!$C$23, $C$13, 100%, $E$13)</f>
        <v>19.251100000000001</v>
      </c>
      <c r="H1003" s="67">
        <f>36.1209* CHOOSE(CONTROL!$C$23, $C$13, 100%, $E$13)</f>
        <v>36.120899999999999</v>
      </c>
      <c r="I1003" s="67">
        <f>36.1257 * CHOOSE(CONTROL!$C$23, $C$13, 100%, $E$13)</f>
        <v>36.125700000000002</v>
      </c>
      <c r="J1003" s="67">
        <f>19.2463 * CHOOSE(CONTROL!$C$23, $C$13, 100%, $E$13)</f>
        <v>19.246300000000002</v>
      </c>
      <c r="K1003" s="67">
        <f>19.2511 * CHOOSE(CONTROL!$C$23, $C$13, 100%, $E$13)</f>
        <v>19.251100000000001</v>
      </c>
    </row>
    <row r="1004" spans="1:11" ht="15">
      <c r="A1004" s="13">
        <v>71681</v>
      </c>
      <c r="B1004" s="66">
        <f>17.1437 * CHOOSE(CONTROL!$C$23, $C$13, 100%, $E$13)</f>
        <v>17.143699999999999</v>
      </c>
      <c r="C1004" s="66">
        <f>17.1437 * CHOOSE(CONTROL!$C$23, $C$13, 100%, $E$13)</f>
        <v>17.143699999999999</v>
      </c>
      <c r="D1004" s="66">
        <f>17.1476 * CHOOSE(CONTROL!$C$23, $C$13, 100%, $E$13)</f>
        <v>17.147600000000001</v>
      </c>
      <c r="E1004" s="67">
        <f>19.5374 * CHOOSE(CONTROL!$C$23, $C$13, 100%, $E$13)</f>
        <v>19.537400000000002</v>
      </c>
      <c r="F1004" s="67">
        <f>19.5374 * CHOOSE(CONTROL!$C$23, $C$13, 100%, $E$13)</f>
        <v>19.537400000000002</v>
      </c>
      <c r="G1004" s="67">
        <f>19.5422 * CHOOSE(CONTROL!$C$23, $C$13, 100%, $E$13)</f>
        <v>19.542200000000001</v>
      </c>
      <c r="H1004" s="67">
        <f>36.1961* CHOOSE(CONTROL!$C$23, $C$13, 100%, $E$13)</f>
        <v>36.196100000000001</v>
      </c>
      <c r="I1004" s="67">
        <f>36.2009 * CHOOSE(CONTROL!$C$23, $C$13, 100%, $E$13)</f>
        <v>36.200899999999997</v>
      </c>
      <c r="J1004" s="67">
        <f>19.5374 * CHOOSE(CONTROL!$C$23, $C$13, 100%, $E$13)</f>
        <v>19.537400000000002</v>
      </c>
      <c r="K1004" s="67">
        <f>19.5422 * CHOOSE(CONTROL!$C$23, $C$13, 100%, $E$13)</f>
        <v>19.542200000000001</v>
      </c>
    </row>
    <row r="1005" spans="1:11" ht="15">
      <c r="A1005" s="13">
        <v>71711</v>
      </c>
      <c r="B1005" s="66">
        <f>17.1437 * CHOOSE(CONTROL!$C$23, $C$13, 100%, $E$13)</f>
        <v>17.143699999999999</v>
      </c>
      <c r="C1005" s="66">
        <f>17.1437 * CHOOSE(CONTROL!$C$23, $C$13, 100%, $E$13)</f>
        <v>17.143699999999999</v>
      </c>
      <c r="D1005" s="66">
        <f>17.1492 * CHOOSE(CONTROL!$C$23, $C$13, 100%, $E$13)</f>
        <v>17.1492</v>
      </c>
      <c r="E1005" s="67">
        <f>19.6481 * CHOOSE(CONTROL!$C$23, $C$13, 100%, $E$13)</f>
        <v>19.648099999999999</v>
      </c>
      <c r="F1005" s="67">
        <f>19.6481 * CHOOSE(CONTROL!$C$23, $C$13, 100%, $E$13)</f>
        <v>19.648099999999999</v>
      </c>
      <c r="G1005" s="67">
        <f>19.6549 * CHOOSE(CONTROL!$C$23, $C$13, 100%, $E$13)</f>
        <v>19.654900000000001</v>
      </c>
      <c r="H1005" s="67">
        <f>36.2715* CHOOSE(CONTROL!$C$23, $C$13, 100%, $E$13)</f>
        <v>36.271500000000003</v>
      </c>
      <c r="I1005" s="67">
        <f>36.2783 * CHOOSE(CONTROL!$C$23, $C$13, 100%, $E$13)</f>
        <v>36.278300000000002</v>
      </c>
      <c r="J1005" s="67">
        <f>19.6481 * CHOOSE(CONTROL!$C$23, $C$13, 100%, $E$13)</f>
        <v>19.648099999999999</v>
      </c>
      <c r="K1005" s="67">
        <f>19.6549 * CHOOSE(CONTROL!$C$23, $C$13, 100%, $E$13)</f>
        <v>19.654900000000001</v>
      </c>
    </row>
    <row r="1006" spans="1:11" ht="15">
      <c r="A1006" s="13">
        <v>71742</v>
      </c>
      <c r="B1006" s="66">
        <f>17.1498 * CHOOSE(CONTROL!$C$23, $C$13, 100%, $E$13)</f>
        <v>17.149799999999999</v>
      </c>
      <c r="C1006" s="66">
        <f>17.1498 * CHOOSE(CONTROL!$C$23, $C$13, 100%, $E$13)</f>
        <v>17.149799999999999</v>
      </c>
      <c r="D1006" s="66">
        <f>17.1553 * CHOOSE(CONTROL!$C$23, $C$13, 100%, $E$13)</f>
        <v>17.1553</v>
      </c>
      <c r="E1006" s="67">
        <f>19.5416 * CHOOSE(CONTROL!$C$23, $C$13, 100%, $E$13)</f>
        <v>19.541599999999999</v>
      </c>
      <c r="F1006" s="67">
        <f>19.5416 * CHOOSE(CONTROL!$C$23, $C$13, 100%, $E$13)</f>
        <v>19.541599999999999</v>
      </c>
      <c r="G1006" s="67">
        <f>19.5484 * CHOOSE(CONTROL!$C$23, $C$13, 100%, $E$13)</f>
        <v>19.548400000000001</v>
      </c>
      <c r="H1006" s="67">
        <f>36.3471* CHOOSE(CONTROL!$C$23, $C$13, 100%, $E$13)</f>
        <v>36.347099999999998</v>
      </c>
      <c r="I1006" s="67">
        <f>36.3538 * CHOOSE(CONTROL!$C$23, $C$13, 100%, $E$13)</f>
        <v>36.3538</v>
      </c>
      <c r="J1006" s="67">
        <f>19.5416 * CHOOSE(CONTROL!$C$23, $C$13, 100%, $E$13)</f>
        <v>19.541599999999999</v>
      </c>
      <c r="K1006" s="67">
        <f>19.5484 * CHOOSE(CONTROL!$C$23, $C$13, 100%, $E$13)</f>
        <v>19.548400000000001</v>
      </c>
    </row>
    <row r="1007" spans="1:11" ht="15">
      <c r="A1007" s="13">
        <v>71772</v>
      </c>
      <c r="B1007" s="66">
        <f>17.4078 * CHOOSE(CONTROL!$C$23, $C$13, 100%, $E$13)</f>
        <v>17.407800000000002</v>
      </c>
      <c r="C1007" s="66">
        <f>17.4078 * CHOOSE(CONTROL!$C$23, $C$13, 100%, $E$13)</f>
        <v>17.407800000000002</v>
      </c>
      <c r="D1007" s="66">
        <f>17.4133 * CHOOSE(CONTROL!$C$23, $C$13, 100%, $E$13)</f>
        <v>17.4133</v>
      </c>
      <c r="E1007" s="67">
        <f>19.8499 * CHOOSE(CONTROL!$C$23, $C$13, 100%, $E$13)</f>
        <v>19.849900000000002</v>
      </c>
      <c r="F1007" s="67">
        <f>19.8499 * CHOOSE(CONTROL!$C$23, $C$13, 100%, $E$13)</f>
        <v>19.849900000000002</v>
      </c>
      <c r="G1007" s="67">
        <f>19.8567 * CHOOSE(CONTROL!$C$23, $C$13, 100%, $E$13)</f>
        <v>19.8567</v>
      </c>
      <c r="H1007" s="67">
        <f>36.4228* CHOOSE(CONTROL!$C$23, $C$13, 100%, $E$13)</f>
        <v>36.422800000000002</v>
      </c>
      <c r="I1007" s="67">
        <f>36.4296 * CHOOSE(CONTROL!$C$23, $C$13, 100%, $E$13)</f>
        <v>36.429600000000001</v>
      </c>
      <c r="J1007" s="67">
        <f>19.8499 * CHOOSE(CONTROL!$C$23, $C$13, 100%, $E$13)</f>
        <v>19.849900000000002</v>
      </c>
      <c r="K1007" s="67">
        <f>19.8567 * CHOOSE(CONTROL!$C$23, $C$13, 100%, $E$13)</f>
        <v>19.8567</v>
      </c>
    </row>
    <row r="1008" spans="1:11" ht="15">
      <c r="A1008" s="13">
        <v>71803</v>
      </c>
      <c r="B1008" s="66">
        <f>17.4144 * CHOOSE(CONTROL!$C$23, $C$13, 100%, $E$13)</f>
        <v>17.414400000000001</v>
      </c>
      <c r="C1008" s="66">
        <f>17.4144 * CHOOSE(CONTROL!$C$23, $C$13, 100%, $E$13)</f>
        <v>17.414400000000001</v>
      </c>
      <c r="D1008" s="66">
        <f>17.4199 * CHOOSE(CONTROL!$C$23, $C$13, 100%, $E$13)</f>
        <v>17.419899999999998</v>
      </c>
      <c r="E1008" s="67">
        <f>19.5224 * CHOOSE(CONTROL!$C$23, $C$13, 100%, $E$13)</f>
        <v>19.522400000000001</v>
      </c>
      <c r="F1008" s="67">
        <f>19.5224 * CHOOSE(CONTROL!$C$23, $C$13, 100%, $E$13)</f>
        <v>19.522400000000001</v>
      </c>
      <c r="G1008" s="67">
        <f>19.5291 * CHOOSE(CONTROL!$C$23, $C$13, 100%, $E$13)</f>
        <v>19.5291</v>
      </c>
      <c r="H1008" s="67">
        <f>36.4987* CHOOSE(CONTROL!$C$23, $C$13, 100%, $E$13)</f>
        <v>36.498699999999999</v>
      </c>
      <c r="I1008" s="67">
        <f>36.5055 * CHOOSE(CONTROL!$C$23, $C$13, 100%, $E$13)</f>
        <v>36.505499999999998</v>
      </c>
      <c r="J1008" s="67">
        <f>19.5224 * CHOOSE(CONTROL!$C$23, $C$13, 100%, $E$13)</f>
        <v>19.522400000000001</v>
      </c>
      <c r="K1008" s="67">
        <f>19.5291 * CHOOSE(CONTROL!$C$23, $C$13, 100%, $E$13)</f>
        <v>19.5291</v>
      </c>
    </row>
    <row r="1009" spans="1:11" ht="15">
      <c r="A1009" s="13">
        <v>71834</v>
      </c>
      <c r="B1009" s="66">
        <f>17.4114 * CHOOSE(CONTROL!$C$23, $C$13, 100%, $E$13)</f>
        <v>17.4114</v>
      </c>
      <c r="C1009" s="66">
        <f>17.4114 * CHOOSE(CONTROL!$C$23, $C$13, 100%, $E$13)</f>
        <v>17.4114</v>
      </c>
      <c r="D1009" s="66">
        <f>17.4169 * CHOOSE(CONTROL!$C$23, $C$13, 100%, $E$13)</f>
        <v>17.416899999999998</v>
      </c>
      <c r="E1009" s="67">
        <f>19.4834 * CHOOSE(CONTROL!$C$23, $C$13, 100%, $E$13)</f>
        <v>19.4834</v>
      </c>
      <c r="F1009" s="67">
        <f>19.4834 * CHOOSE(CONTROL!$C$23, $C$13, 100%, $E$13)</f>
        <v>19.4834</v>
      </c>
      <c r="G1009" s="67">
        <f>19.4901 * CHOOSE(CONTROL!$C$23, $C$13, 100%, $E$13)</f>
        <v>19.490100000000002</v>
      </c>
      <c r="H1009" s="67">
        <f>36.5748* CHOOSE(CONTROL!$C$23, $C$13, 100%, $E$13)</f>
        <v>36.574800000000003</v>
      </c>
      <c r="I1009" s="67">
        <f>36.5815 * CHOOSE(CONTROL!$C$23, $C$13, 100%, $E$13)</f>
        <v>36.581499999999998</v>
      </c>
      <c r="J1009" s="67">
        <f>19.4834 * CHOOSE(CONTROL!$C$23, $C$13, 100%, $E$13)</f>
        <v>19.4834</v>
      </c>
      <c r="K1009" s="67">
        <f>19.4901 * CHOOSE(CONTROL!$C$23, $C$13, 100%, $E$13)</f>
        <v>19.490100000000002</v>
      </c>
    </row>
    <row r="1010" spans="1:11" ht="15">
      <c r="A1010" s="13">
        <v>71864</v>
      </c>
      <c r="B1010" s="66">
        <f>17.4495 * CHOOSE(CONTROL!$C$23, $C$13, 100%, $E$13)</f>
        <v>17.4495</v>
      </c>
      <c r="C1010" s="66">
        <f>17.4495 * CHOOSE(CONTROL!$C$23, $C$13, 100%, $E$13)</f>
        <v>17.4495</v>
      </c>
      <c r="D1010" s="66">
        <f>17.4534 * CHOOSE(CONTROL!$C$23, $C$13, 100%, $E$13)</f>
        <v>17.453399999999998</v>
      </c>
      <c r="E1010" s="67">
        <f>19.6176 * CHOOSE(CONTROL!$C$23, $C$13, 100%, $E$13)</f>
        <v>19.617599999999999</v>
      </c>
      <c r="F1010" s="67">
        <f>19.6176 * CHOOSE(CONTROL!$C$23, $C$13, 100%, $E$13)</f>
        <v>19.617599999999999</v>
      </c>
      <c r="G1010" s="67">
        <f>19.6224 * CHOOSE(CONTROL!$C$23, $C$13, 100%, $E$13)</f>
        <v>19.622399999999999</v>
      </c>
      <c r="H1010" s="67">
        <f>36.6509* CHOOSE(CONTROL!$C$23, $C$13, 100%, $E$13)</f>
        <v>36.6509</v>
      </c>
      <c r="I1010" s="67">
        <f>36.6557 * CHOOSE(CONTROL!$C$23, $C$13, 100%, $E$13)</f>
        <v>36.655700000000003</v>
      </c>
      <c r="J1010" s="67">
        <f>19.6176 * CHOOSE(CONTROL!$C$23, $C$13, 100%, $E$13)</f>
        <v>19.617599999999999</v>
      </c>
      <c r="K1010" s="67">
        <f>19.6224 * CHOOSE(CONTROL!$C$23, $C$13, 100%, $E$13)</f>
        <v>19.622399999999999</v>
      </c>
    </row>
    <row r="1011" spans="1:11" ht="15">
      <c r="A1011" s="13">
        <v>71895</v>
      </c>
      <c r="B1011" s="66">
        <f>17.4526 * CHOOSE(CONTROL!$C$23, $C$13, 100%, $E$13)</f>
        <v>17.4526</v>
      </c>
      <c r="C1011" s="66">
        <f>17.4526 * CHOOSE(CONTROL!$C$23, $C$13, 100%, $E$13)</f>
        <v>17.4526</v>
      </c>
      <c r="D1011" s="66">
        <f>17.4564 * CHOOSE(CONTROL!$C$23, $C$13, 100%, $E$13)</f>
        <v>17.456399999999999</v>
      </c>
      <c r="E1011" s="67">
        <f>19.6935 * CHOOSE(CONTROL!$C$23, $C$13, 100%, $E$13)</f>
        <v>19.6935</v>
      </c>
      <c r="F1011" s="67">
        <f>19.6935 * CHOOSE(CONTROL!$C$23, $C$13, 100%, $E$13)</f>
        <v>19.6935</v>
      </c>
      <c r="G1011" s="67">
        <f>19.6983 * CHOOSE(CONTROL!$C$23, $C$13, 100%, $E$13)</f>
        <v>19.6983</v>
      </c>
      <c r="H1011" s="67">
        <f>36.7273* CHOOSE(CONTROL!$C$23, $C$13, 100%, $E$13)</f>
        <v>36.7273</v>
      </c>
      <c r="I1011" s="67">
        <f>36.7321 * CHOOSE(CONTROL!$C$23, $C$13, 100%, $E$13)</f>
        <v>36.732100000000003</v>
      </c>
      <c r="J1011" s="67">
        <f>19.6935 * CHOOSE(CONTROL!$C$23, $C$13, 100%, $E$13)</f>
        <v>19.6935</v>
      </c>
      <c r="K1011" s="67">
        <f>19.6983 * CHOOSE(CONTROL!$C$23, $C$13, 100%, $E$13)</f>
        <v>19.6983</v>
      </c>
    </row>
    <row r="1012" spans="1:11" ht="15">
      <c r="A1012" s="13">
        <v>71925</v>
      </c>
      <c r="B1012" s="66">
        <f>17.4526 * CHOOSE(CONTROL!$C$23, $C$13, 100%, $E$13)</f>
        <v>17.4526</v>
      </c>
      <c r="C1012" s="66">
        <f>17.4526 * CHOOSE(CONTROL!$C$23, $C$13, 100%, $E$13)</f>
        <v>17.4526</v>
      </c>
      <c r="D1012" s="66">
        <f>17.4564 * CHOOSE(CONTROL!$C$23, $C$13, 100%, $E$13)</f>
        <v>17.456399999999999</v>
      </c>
      <c r="E1012" s="67">
        <f>19.509 * CHOOSE(CONTROL!$C$23, $C$13, 100%, $E$13)</f>
        <v>19.509</v>
      </c>
      <c r="F1012" s="67">
        <f>19.509 * CHOOSE(CONTROL!$C$23, $C$13, 100%, $E$13)</f>
        <v>19.509</v>
      </c>
      <c r="G1012" s="67">
        <f>19.5137 * CHOOSE(CONTROL!$C$23, $C$13, 100%, $E$13)</f>
        <v>19.5137</v>
      </c>
      <c r="H1012" s="67">
        <f>36.8038* CHOOSE(CONTROL!$C$23, $C$13, 100%, $E$13)</f>
        <v>36.803800000000003</v>
      </c>
      <c r="I1012" s="67">
        <f>36.8086 * CHOOSE(CONTROL!$C$23, $C$13, 100%, $E$13)</f>
        <v>36.808599999999998</v>
      </c>
      <c r="J1012" s="67">
        <f>19.509 * CHOOSE(CONTROL!$C$23, $C$13, 100%, $E$13)</f>
        <v>19.509</v>
      </c>
      <c r="K1012" s="67">
        <f>19.5137 * CHOOSE(CONTROL!$C$23, $C$13, 100%, $E$13)</f>
        <v>19.5137</v>
      </c>
    </row>
    <row r="1013" spans="1:11" ht="15">
      <c r="A1013" s="13">
        <v>71956</v>
      </c>
      <c r="B1013" s="66">
        <f>17.3767 * CHOOSE(CONTROL!$C$23, $C$13, 100%, $E$13)</f>
        <v>17.3767</v>
      </c>
      <c r="C1013" s="66">
        <f>17.3767 * CHOOSE(CONTROL!$C$23, $C$13, 100%, $E$13)</f>
        <v>17.3767</v>
      </c>
      <c r="D1013" s="66">
        <f>17.3806 * CHOOSE(CONTROL!$C$23, $C$13, 100%, $E$13)</f>
        <v>17.380600000000001</v>
      </c>
      <c r="E1013" s="67">
        <f>19.5791 * CHOOSE(CONTROL!$C$23, $C$13, 100%, $E$13)</f>
        <v>19.5791</v>
      </c>
      <c r="F1013" s="67">
        <f>19.5791 * CHOOSE(CONTROL!$C$23, $C$13, 100%, $E$13)</f>
        <v>19.5791</v>
      </c>
      <c r="G1013" s="67">
        <f>19.5839 * CHOOSE(CONTROL!$C$23, $C$13, 100%, $E$13)</f>
        <v>19.5839</v>
      </c>
      <c r="H1013" s="67">
        <f>36.4534* CHOOSE(CONTROL!$C$23, $C$13, 100%, $E$13)</f>
        <v>36.453400000000002</v>
      </c>
      <c r="I1013" s="67">
        <f>36.4582 * CHOOSE(CONTROL!$C$23, $C$13, 100%, $E$13)</f>
        <v>36.458199999999998</v>
      </c>
      <c r="J1013" s="67">
        <f>19.5791 * CHOOSE(CONTROL!$C$23, $C$13, 100%, $E$13)</f>
        <v>19.5791</v>
      </c>
      <c r="K1013" s="67">
        <f>19.5839 * CHOOSE(CONTROL!$C$23, $C$13, 100%, $E$13)</f>
        <v>19.5839</v>
      </c>
    </row>
    <row r="1014" spans="1:11" ht="15">
      <c r="A1014" s="13">
        <v>71987</v>
      </c>
      <c r="B1014" s="66">
        <f>17.3737 * CHOOSE(CONTROL!$C$23, $C$13, 100%, $E$13)</f>
        <v>17.373699999999999</v>
      </c>
      <c r="C1014" s="66">
        <f>17.3737 * CHOOSE(CONTROL!$C$23, $C$13, 100%, $E$13)</f>
        <v>17.373699999999999</v>
      </c>
      <c r="D1014" s="66">
        <f>17.3776 * CHOOSE(CONTROL!$C$23, $C$13, 100%, $E$13)</f>
        <v>17.377600000000001</v>
      </c>
      <c r="E1014" s="67">
        <f>19.2233 * CHOOSE(CONTROL!$C$23, $C$13, 100%, $E$13)</f>
        <v>19.223299999999998</v>
      </c>
      <c r="F1014" s="67">
        <f>19.2233 * CHOOSE(CONTROL!$C$23, $C$13, 100%, $E$13)</f>
        <v>19.223299999999998</v>
      </c>
      <c r="G1014" s="67">
        <f>19.228 * CHOOSE(CONTROL!$C$23, $C$13, 100%, $E$13)</f>
        <v>19.228000000000002</v>
      </c>
      <c r="H1014" s="67">
        <f>36.5293* CHOOSE(CONTROL!$C$23, $C$13, 100%, $E$13)</f>
        <v>36.529299999999999</v>
      </c>
      <c r="I1014" s="67">
        <f>36.5341 * CHOOSE(CONTROL!$C$23, $C$13, 100%, $E$13)</f>
        <v>36.534100000000002</v>
      </c>
      <c r="J1014" s="67">
        <f>19.2233 * CHOOSE(CONTROL!$C$23, $C$13, 100%, $E$13)</f>
        <v>19.223299999999998</v>
      </c>
      <c r="K1014" s="67">
        <f>19.228 * CHOOSE(CONTROL!$C$23, $C$13, 100%, $E$13)</f>
        <v>19.228000000000002</v>
      </c>
    </row>
    <row r="1015" spans="1:11" ht="15">
      <c r="A1015" s="13">
        <v>72015</v>
      </c>
      <c r="B1015" s="66">
        <f>17.3706 * CHOOSE(CONTROL!$C$23, $C$13, 100%, $E$13)</f>
        <v>17.3706</v>
      </c>
      <c r="C1015" s="66">
        <f>17.3706 * CHOOSE(CONTROL!$C$23, $C$13, 100%, $E$13)</f>
        <v>17.3706</v>
      </c>
      <c r="D1015" s="66">
        <f>17.3745 * CHOOSE(CONTROL!$C$23, $C$13, 100%, $E$13)</f>
        <v>17.374500000000001</v>
      </c>
      <c r="E1015" s="67">
        <f>19.5 * CHOOSE(CONTROL!$C$23, $C$13, 100%, $E$13)</f>
        <v>19.5</v>
      </c>
      <c r="F1015" s="67">
        <f>19.5 * CHOOSE(CONTROL!$C$23, $C$13, 100%, $E$13)</f>
        <v>19.5</v>
      </c>
      <c r="G1015" s="67">
        <f>19.5048 * CHOOSE(CONTROL!$C$23, $C$13, 100%, $E$13)</f>
        <v>19.504799999999999</v>
      </c>
      <c r="H1015" s="67">
        <f>36.6054* CHOOSE(CONTROL!$C$23, $C$13, 100%, $E$13)</f>
        <v>36.605400000000003</v>
      </c>
      <c r="I1015" s="67">
        <f>36.6102 * CHOOSE(CONTROL!$C$23, $C$13, 100%, $E$13)</f>
        <v>36.610199999999999</v>
      </c>
      <c r="J1015" s="67">
        <f>19.5 * CHOOSE(CONTROL!$C$23, $C$13, 100%, $E$13)</f>
        <v>19.5</v>
      </c>
      <c r="K1015" s="67">
        <f>19.5048 * CHOOSE(CONTROL!$C$23, $C$13, 100%, $E$13)</f>
        <v>19.504799999999999</v>
      </c>
    </row>
    <row r="1016" spans="1:11" ht="15">
      <c r="A1016" s="13">
        <v>72046</v>
      </c>
      <c r="B1016" s="66">
        <f>17.3795 * CHOOSE(CONTROL!$C$23, $C$13, 100%, $E$13)</f>
        <v>17.3795</v>
      </c>
      <c r="C1016" s="66">
        <f>17.3795 * CHOOSE(CONTROL!$C$23, $C$13, 100%, $E$13)</f>
        <v>17.3795</v>
      </c>
      <c r="D1016" s="66">
        <f>17.3833 * CHOOSE(CONTROL!$C$23, $C$13, 100%, $E$13)</f>
        <v>17.383299999999998</v>
      </c>
      <c r="E1016" s="67">
        <f>19.7952 * CHOOSE(CONTROL!$C$23, $C$13, 100%, $E$13)</f>
        <v>19.795200000000001</v>
      </c>
      <c r="F1016" s="67">
        <f>19.7952 * CHOOSE(CONTROL!$C$23, $C$13, 100%, $E$13)</f>
        <v>19.795200000000001</v>
      </c>
      <c r="G1016" s="67">
        <f>19.8 * CHOOSE(CONTROL!$C$23, $C$13, 100%, $E$13)</f>
        <v>19.8</v>
      </c>
      <c r="H1016" s="67">
        <f>36.6817* CHOOSE(CONTROL!$C$23, $C$13, 100%, $E$13)</f>
        <v>36.681699999999999</v>
      </c>
      <c r="I1016" s="67">
        <f>36.6865 * CHOOSE(CONTROL!$C$23, $C$13, 100%, $E$13)</f>
        <v>36.686500000000002</v>
      </c>
      <c r="J1016" s="67">
        <f>19.7952 * CHOOSE(CONTROL!$C$23, $C$13, 100%, $E$13)</f>
        <v>19.795200000000001</v>
      </c>
      <c r="K1016" s="67">
        <f>19.8 * CHOOSE(CONTROL!$C$23, $C$13, 100%, $E$13)</f>
        <v>19.8</v>
      </c>
    </row>
    <row r="1017" spans="1:11" ht="15">
      <c r="A1017" s="13">
        <v>72076</v>
      </c>
      <c r="B1017" s="66">
        <f>17.3795 * CHOOSE(CONTROL!$C$23, $C$13, 100%, $E$13)</f>
        <v>17.3795</v>
      </c>
      <c r="C1017" s="66">
        <f>17.3795 * CHOOSE(CONTROL!$C$23, $C$13, 100%, $E$13)</f>
        <v>17.3795</v>
      </c>
      <c r="D1017" s="66">
        <f>17.385 * CHOOSE(CONTROL!$C$23, $C$13, 100%, $E$13)</f>
        <v>17.385000000000002</v>
      </c>
      <c r="E1017" s="67">
        <f>19.9075 * CHOOSE(CONTROL!$C$23, $C$13, 100%, $E$13)</f>
        <v>19.907499999999999</v>
      </c>
      <c r="F1017" s="67">
        <f>19.9075 * CHOOSE(CONTROL!$C$23, $C$13, 100%, $E$13)</f>
        <v>19.907499999999999</v>
      </c>
      <c r="G1017" s="67">
        <f>19.9143 * CHOOSE(CONTROL!$C$23, $C$13, 100%, $E$13)</f>
        <v>19.914300000000001</v>
      </c>
      <c r="H1017" s="67">
        <f>36.7581* CHOOSE(CONTROL!$C$23, $C$13, 100%, $E$13)</f>
        <v>36.758099999999999</v>
      </c>
      <c r="I1017" s="67">
        <f>36.7649 * CHOOSE(CONTROL!$C$23, $C$13, 100%, $E$13)</f>
        <v>36.764899999999997</v>
      </c>
      <c r="J1017" s="67">
        <f>19.9075 * CHOOSE(CONTROL!$C$23, $C$13, 100%, $E$13)</f>
        <v>19.907499999999999</v>
      </c>
      <c r="K1017" s="67">
        <f>19.9143 * CHOOSE(CONTROL!$C$23, $C$13, 100%, $E$13)</f>
        <v>19.914300000000001</v>
      </c>
    </row>
    <row r="1018" spans="1:11" ht="15">
      <c r="A1018" s="13">
        <v>72107</v>
      </c>
      <c r="B1018" s="66">
        <f>17.3855 * CHOOSE(CONTROL!$C$23, $C$13, 100%, $E$13)</f>
        <v>17.3855</v>
      </c>
      <c r="C1018" s="66">
        <f>17.3855 * CHOOSE(CONTROL!$C$23, $C$13, 100%, $E$13)</f>
        <v>17.3855</v>
      </c>
      <c r="D1018" s="66">
        <f>17.3911 * CHOOSE(CONTROL!$C$23, $C$13, 100%, $E$13)</f>
        <v>17.391100000000002</v>
      </c>
      <c r="E1018" s="67">
        <f>19.7995 * CHOOSE(CONTROL!$C$23, $C$13, 100%, $E$13)</f>
        <v>19.799499999999998</v>
      </c>
      <c r="F1018" s="67">
        <f>19.7995 * CHOOSE(CONTROL!$C$23, $C$13, 100%, $E$13)</f>
        <v>19.799499999999998</v>
      </c>
      <c r="G1018" s="67">
        <f>19.8062 * CHOOSE(CONTROL!$C$23, $C$13, 100%, $E$13)</f>
        <v>19.8062</v>
      </c>
      <c r="H1018" s="67">
        <f>36.8347* CHOOSE(CONTROL!$C$23, $C$13, 100%, $E$13)</f>
        <v>36.834699999999998</v>
      </c>
      <c r="I1018" s="67">
        <f>36.8414 * CHOOSE(CONTROL!$C$23, $C$13, 100%, $E$13)</f>
        <v>36.8414</v>
      </c>
      <c r="J1018" s="67">
        <f>19.7995 * CHOOSE(CONTROL!$C$23, $C$13, 100%, $E$13)</f>
        <v>19.799499999999998</v>
      </c>
      <c r="K1018" s="67">
        <f>19.8062 * CHOOSE(CONTROL!$C$23, $C$13, 100%, $E$13)</f>
        <v>19.8062</v>
      </c>
    </row>
    <row r="1019" spans="1:11" ht="15">
      <c r="A1019" s="13">
        <v>72137</v>
      </c>
      <c r="B1019" s="66">
        <f>17.6469 * CHOOSE(CONTROL!$C$23, $C$13, 100%, $E$13)</f>
        <v>17.646899999999999</v>
      </c>
      <c r="C1019" s="66">
        <f>17.6469 * CHOOSE(CONTROL!$C$23, $C$13, 100%, $E$13)</f>
        <v>17.646899999999999</v>
      </c>
      <c r="D1019" s="66">
        <f>17.6524 * CHOOSE(CONTROL!$C$23, $C$13, 100%, $E$13)</f>
        <v>17.6524</v>
      </c>
      <c r="E1019" s="67">
        <f>20.1117 * CHOOSE(CONTROL!$C$23, $C$13, 100%, $E$13)</f>
        <v>20.111699999999999</v>
      </c>
      <c r="F1019" s="67">
        <f>20.1117 * CHOOSE(CONTROL!$C$23, $C$13, 100%, $E$13)</f>
        <v>20.111699999999999</v>
      </c>
      <c r="G1019" s="67">
        <f>20.1185 * CHOOSE(CONTROL!$C$23, $C$13, 100%, $E$13)</f>
        <v>20.118500000000001</v>
      </c>
      <c r="H1019" s="67">
        <f>36.9114* CHOOSE(CONTROL!$C$23, $C$13, 100%, $E$13)</f>
        <v>36.9114</v>
      </c>
      <c r="I1019" s="67">
        <f>36.9182 * CHOOSE(CONTROL!$C$23, $C$13, 100%, $E$13)</f>
        <v>36.918199999999999</v>
      </c>
      <c r="J1019" s="67">
        <f>20.1117 * CHOOSE(CONTROL!$C$23, $C$13, 100%, $E$13)</f>
        <v>20.111699999999999</v>
      </c>
      <c r="K1019" s="67">
        <f>20.1185 * CHOOSE(CONTROL!$C$23, $C$13, 100%, $E$13)</f>
        <v>20.118500000000001</v>
      </c>
    </row>
    <row r="1020" spans="1:11" ht="15">
      <c r="A1020" s="13">
        <v>72168</v>
      </c>
      <c r="B1020" s="66">
        <f>17.6536 * CHOOSE(CONTROL!$C$23, $C$13, 100%, $E$13)</f>
        <v>17.653600000000001</v>
      </c>
      <c r="C1020" s="66">
        <f>17.6536 * CHOOSE(CONTROL!$C$23, $C$13, 100%, $E$13)</f>
        <v>17.653600000000001</v>
      </c>
      <c r="D1020" s="66">
        <f>17.6591 * CHOOSE(CONTROL!$C$23, $C$13, 100%, $E$13)</f>
        <v>17.659099999999999</v>
      </c>
      <c r="E1020" s="67">
        <f>19.7795 * CHOOSE(CONTROL!$C$23, $C$13, 100%, $E$13)</f>
        <v>19.779499999999999</v>
      </c>
      <c r="F1020" s="67">
        <f>19.7795 * CHOOSE(CONTROL!$C$23, $C$13, 100%, $E$13)</f>
        <v>19.779499999999999</v>
      </c>
      <c r="G1020" s="67">
        <f>19.7862 * CHOOSE(CONTROL!$C$23, $C$13, 100%, $E$13)</f>
        <v>19.786200000000001</v>
      </c>
      <c r="H1020" s="67">
        <f>36.9883* CHOOSE(CONTROL!$C$23, $C$13, 100%, $E$13)</f>
        <v>36.988300000000002</v>
      </c>
      <c r="I1020" s="67">
        <f>36.9951 * CHOOSE(CONTROL!$C$23, $C$13, 100%, $E$13)</f>
        <v>36.995100000000001</v>
      </c>
      <c r="J1020" s="67">
        <f>19.7795 * CHOOSE(CONTROL!$C$23, $C$13, 100%, $E$13)</f>
        <v>19.779499999999999</v>
      </c>
      <c r="K1020" s="67">
        <f>19.7862 * CHOOSE(CONTROL!$C$23, $C$13, 100%, $E$13)</f>
        <v>19.786200000000001</v>
      </c>
    </row>
    <row r="1021" spans="1:11" ht="15">
      <c r="A1021" s="13">
        <v>72199</v>
      </c>
      <c r="B1021" s="66">
        <f>17.6506 * CHOOSE(CONTROL!$C$23, $C$13, 100%, $E$13)</f>
        <v>17.650600000000001</v>
      </c>
      <c r="C1021" s="66">
        <f>17.6506 * CHOOSE(CONTROL!$C$23, $C$13, 100%, $E$13)</f>
        <v>17.650600000000001</v>
      </c>
      <c r="D1021" s="66">
        <f>17.6561 * CHOOSE(CONTROL!$C$23, $C$13, 100%, $E$13)</f>
        <v>17.656099999999999</v>
      </c>
      <c r="E1021" s="67">
        <f>19.7399 * CHOOSE(CONTROL!$C$23, $C$13, 100%, $E$13)</f>
        <v>19.739899999999999</v>
      </c>
      <c r="F1021" s="67">
        <f>19.7399 * CHOOSE(CONTROL!$C$23, $C$13, 100%, $E$13)</f>
        <v>19.739899999999999</v>
      </c>
      <c r="G1021" s="67">
        <f>19.7466 * CHOOSE(CONTROL!$C$23, $C$13, 100%, $E$13)</f>
        <v>19.746600000000001</v>
      </c>
      <c r="H1021" s="67">
        <f>37.0654* CHOOSE(CONTROL!$C$23, $C$13, 100%, $E$13)</f>
        <v>37.065399999999997</v>
      </c>
      <c r="I1021" s="67">
        <f>37.0721 * CHOOSE(CONTROL!$C$23, $C$13, 100%, $E$13)</f>
        <v>37.072099999999999</v>
      </c>
      <c r="J1021" s="67">
        <f>19.7399 * CHOOSE(CONTROL!$C$23, $C$13, 100%, $E$13)</f>
        <v>19.739899999999999</v>
      </c>
      <c r="K1021" s="67">
        <f>19.7466 * CHOOSE(CONTROL!$C$23, $C$13, 100%, $E$13)</f>
        <v>19.746600000000001</v>
      </c>
    </row>
    <row r="1022" spans="1:11" ht="15">
      <c r="A1022" s="13">
        <v>72229</v>
      </c>
      <c r="B1022" s="66">
        <f>17.6895 * CHOOSE(CONTROL!$C$23, $C$13, 100%, $E$13)</f>
        <v>17.689499999999999</v>
      </c>
      <c r="C1022" s="66">
        <f>17.6895 * CHOOSE(CONTROL!$C$23, $C$13, 100%, $E$13)</f>
        <v>17.689499999999999</v>
      </c>
      <c r="D1022" s="66">
        <f>17.6933 * CHOOSE(CONTROL!$C$23, $C$13, 100%, $E$13)</f>
        <v>17.693300000000001</v>
      </c>
      <c r="E1022" s="67">
        <f>19.8762 * CHOOSE(CONTROL!$C$23, $C$13, 100%, $E$13)</f>
        <v>19.876200000000001</v>
      </c>
      <c r="F1022" s="67">
        <f>19.8762 * CHOOSE(CONTROL!$C$23, $C$13, 100%, $E$13)</f>
        <v>19.876200000000001</v>
      </c>
      <c r="G1022" s="67">
        <f>19.881 * CHOOSE(CONTROL!$C$23, $C$13, 100%, $E$13)</f>
        <v>19.881</v>
      </c>
      <c r="H1022" s="67">
        <f>37.1426* CHOOSE(CONTROL!$C$23, $C$13, 100%, $E$13)</f>
        <v>37.142600000000002</v>
      </c>
      <c r="I1022" s="67">
        <f>37.1474 * CHOOSE(CONTROL!$C$23, $C$13, 100%, $E$13)</f>
        <v>37.147399999999998</v>
      </c>
      <c r="J1022" s="67">
        <f>19.8762 * CHOOSE(CONTROL!$C$23, $C$13, 100%, $E$13)</f>
        <v>19.876200000000001</v>
      </c>
      <c r="K1022" s="67">
        <f>19.881 * CHOOSE(CONTROL!$C$23, $C$13, 100%, $E$13)</f>
        <v>19.881</v>
      </c>
    </row>
    <row r="1023" spans="1:11" ht="15">
      <c r="A1023" s="13">
        <v>72260</v>
      </c>
      <c r="B1023" s="66">
        <f>17.6925 * CHOOSE(CONTROL!$C$23, $C$13, 100%, $E$13)</f>
        <v>17.692499999999999</v>
      </c>
      <c r="C1023" s="66">
        <f>17.6925 * CHOOSE(CONTROL!$C$23, $C$13, 100%, $E$13)</f>
        <v>17.692499999999999</v>
      </c>
      <c r="D1023" s="66">
        <f>17.6964 * CHOOSE(CONTROL!$C$23, $C$13, 100%, $E$13)</f>
        <v>17.696400000000001</v>
      </c>
      <c r="E1023" s="67">
        <f>19.9532 * CHOOSE(CONTROL!$C$23, $C$13, 100%, $E$13)</f>
        <v>19.953199999999999</v>
      </c>
      <c r="F1023" s="67">
        <f>19.9532 * CHOOSE(CONTROL!$C$23, $C$13, 100%, $E$13)</f>
        <v>19.953199999999999</v>
      </c>
      <c r="G1023" s="67">
        <f>19.958 * CHOOSE(CONTROL!$C$23, $C$13, 100%, $E$13)</f>
        <v>19.957999999999998</v>
      </c>
      <c r="H1023" s="67">
        <f>37.22* CHOOSE(CONTROL!$C$23, $C$13, 100%, $E$13)</f>
        <v>37.22</v>
      </c>
      <c r="I1023" s="67">
        <f>37.2248 * CHOOSE(CONTROL!$C$23, $C$13, 100%, $E$13)</f>
        <v>37.224800000000002</v>
      </c>
      <c r="J1023" s="67">
        <f>19.9532 * CHOOSE(CONTROL!$C$23, $C$13, 100%, $E$13)</f>
        <v>19.953199999999999</v>
      </c>
      <c r="K1023" s="67">
        <f>19.958 * CHOOSE(CONTROL!$C$23, $C$13, 100%, $E$13)</f>
        <v>19.957999999999998</v>
      </c>
    </row>
    <row r="1024" spans="1:11" ht="15">
      <c r="A1024" s="13">
        <v>72290</v>
      </c>
      <c r="B1024" s="66">
        <f>17.6925 * CHOOSE(CONTROL!$C$23, $C$13, 100%, $E$13)</f>
        <v>17.692499999999999</v>
      </c>
      <c r="C1024" s="66">
        <f>17.6925 * CHOOSE(CONTROL!$C$23, $C$13, 100%, $E$13)</f>
        <v>17.692499999999999</v>
      </c>
      <c r="D1024" s="66">
        <f>17.6964 * CHOOSE(CONTROL!$C$23, $C$13, 100%, $E$13)</f>
        <v>17.696400000000001</v>
      </c>
      <c r="E1024" s="67">
        <f>19.766 * CHOOSE(CONTROL!$C$23, $C$13, 100%, $E$13)</f>
        <v>19.765999999999998</v>
      </c>
      <c r="F1024" s="67">
        <f>19.766 * CHOOSE(CONTROL!$C$23, $C$13, 100%, $E$13)</f>
        <v>19.765999999999998</v>
      </c>
      <c r="G1024" s="67">
        <f>19.7708 * CHOOSE(CONTROL!$C$23, $C$13, 100%, $E$13)</f>
        <v>19.770800000000001</v>
      </c>
      <c r="H1024" s="67">
        <f>37.2975* CHOOSE(CONTROL!$C$23, $C$13, 100%, $E$13)</f>
        <v>37.297499999999999</v>
      </c>
      <c r="I1024" s="67">
        <f>37.3023 * CHOOSE(CONTROL!$C$23, $C$13, 100%, $E$13)</f>
        <v>37.302300000000002</v>
      </c>
      <c r="J1024" s="67">
        <f>19.766 * CHOOSE(CONTROL!$C$23, $C$13, 100%, $E$13)</f>
        <v>19.765999999999998</v>
      </c>
      <c r="K1024" s="67">
        <f>19.7708 * CHOOSE(CONTROL!$C$23, $C$13, 100%, $E$13)</f>
        <v>19.770800000000001</v>
      </c>
    </row>
    <row r="1025" spans="1:11" ht="15">
      <c r="A1025" s="13">
        <v>72321</v>
      </c>
      <c r="B1025" s="66">
        <f>17.6123 * CHOOSE(CONTROL!$C$23, $C$13, 100%, $E$13)</f>
        <v>17.612300000000001</v>
      </c>
      <c r="C1025" s="66">
        <f>17.6123 * CHOOSE(CONTROL!$C$23, $C$13, 100%, $E$13)</f>
        <v>17.612300000000001</v>
      </c>
      <c r="D1025" s="66">
        <f>17.6162 * CHOOSE(CONTROL!$C$23, $C$13, 100%, $E$13)</f>
        <v>17.616199999999999</v>
      </c>
      <c r="E1025" s="67">
        <f>19.8338 * CHOOSE(CONTROL!$C$23, $C$13, 100%, $E$13)</f>
        <v>19.8338</v>
      </c>
      <c r="F1025" s="67">
        <f>19.8338 * CHOOSE(CONTROL!$C$23, $C$13, 100%, $E$13)</f>
        <v>19.8338</v>
      </c>
      <c r="G1025" s="67">
        <f>19.8386 * CHOOSE(CONTROL!$C$23, $C$13, 100%, $E$13)</f>
        <v>19.8386</v>
      </c>
      <c r="H1025" s="67">
        <f>36.9359* CHOOSE(CONTROL!$C$23, $C$13, 100%, $E$13)</f>
        <v>36.935899999999997</v>
      </c>
      <c r="I1025" s="67">
        <f>36.9407 * CHOOSE(CONTROL!$C$23, $C$13, 100%, $E$13)</f>
        <v>36.9407</v>
      </c>
      <c r="J1025" s="67">
        <f>19.8338 * CHOOSE(CONTROL!$C$23, $C$13, 100%, $E$13)</f>
        <v>19.8338</v>
      </c>
      <c r="K1025" s="67">
        <f>19.8386 * CHOOSE(CONTROL!$C$23, $C$13, 100%, $E$13)</f>
        <v>19.8386</v>
      </c>
    </row>
    <row r="1026" spans="1:11" ht="15">
      <c r="A1026" s="13">
        <v>72352</v>
      </c>
      <c r="B1026" s="66">
        <f>17.6093 * CHOOSE(CONTROL!$C$23, $C$13, 100%, $E$13)</f>
        <v>17.609300000000001</v>
      </c>
      <c r="C1026" s="66">
        <f>17.6093 * CHOOSE(CONTROL!$C$23, $C$13, 100%, $E$13)</f>
        <v>17.609300000000001</v>
      </c>
      <c r="D1026" s="66">
        <f>17.6131 * CHOOSE(CONTROL!$C$23, $C$13, 100%, $E$13)</f>
        <v>17.613099999999999</v>
      </c>
      <c r="E1026" s="67">
        <f>19.473 * CHOOSE(CONTROL!$C$23, $C$13, 100%, $E$13)</f>
        <v>19.472999999999999</v>
      </c>
      <c r="F1026" s="67">
        <f>19.473 * CHOOSE(CONTROL!$C$23, $C$13, 100%, $E$13)</f>
        <v>19.472999999999999</v>
      </c>
      <c r="G1026" s="67">
        <f>19.4778 * CHOOSE(CONTROL!$C$23, $C$13, 100%, $E$13)</f>
        <v>19.477799999999998</v>
      </c>
      <c r="H1026" s="67">
        <f>37.0129* CHOOSE(CONTROL!$C$23, $C$13, 100%, $E$13)</f>
        <v>37.012900000000002</v>
      </c>
      <c r="I1026" s="67">
        <f>37.0177 * CHOOSE(CONTROL!$C$23, $C$13, 100%, $E$13)</f>
        <v>37.017699999999998</v>
      </c>
      <c r="J1026" s="67">
        <f>19.473 * CHOOSE(CONTROL!$C$23, $C$13, 100%, $E$13)</f>
        <v>19.472999999999999</v>
      </c>
      <c r="K1026" s="67">
        <f>19.4778 * CHOOSE(CONTROL!$C$23, $C$13, 100%, $E$13)</f>
        <v>19.477799999999998</v>
      </c>
    </row>
    <row r="1027" spans="1:11" ht="15">
      <c r="A1027" s="13">
        <v>72380</v>
      </c>
      <c r="B1027" s="66">
        <f>17.6062 * CHOOSE(CONTROL!$C$23, $C$13, 100%, $E$13)</f>
        <v>17.606200000000001</v>
      </c>
      <c r="C1027" s="66">
        <f>17.6062 * CHOOSE(CONTROL!$C$23, $C$13, 100%, $E$13)</f>
        <v>17.606200000000001</v>
      </c>
      <c r="D1027" s="66">
        <f>17.6101 * CHOOSE(CONTROL!$C$23, $C$13, 100%, $E$13)</f>
        <v>17.610099999999999</v>
      </c>
      <c r="E1027" s="67">
        <f>19.7537 * CHOOSE(CONTROL!$C$23, $C$13, 100%, $E$13)</f>
        <v>19.753699999999998</v>
      </c>
      <c r="F1027" s="67">
        <f>19.7537 * CHOOSE(CONTROL!$C$23, $C$13, 100%, $E$13)</f>
        <v>19.753699999999998</v>
      </c>
      <c r="G1027" s="67">
        <f>19.7584 * CHOOSE(CONTROL!$C$23, $C$13, 100%, $E$13)</f>
        <v>19.758400000000002</v>
      </c>
      <c r="H1027" s="67">
        <f>37.09* CHOOSE(CONTROL!$C$23, $C$13, 100%, $E$13)</f>
        <v>37.090000000000003</v>
      </c>
      <c r="I1027" s="67">
        <f>37.0948 * CHOOSE(CONTROL!$C$23, $C$13, 100%, $E$13)</f>
        <v>37.094799999999999</v>
      </c>
      <c r="J1027" s="67">
        <f>19.7537 * CHOOSE(CONTROL!$C$23, $C$13, 100%, $E$13)</f>
        <v>19.753699999999998</v>
      </c>
      <c r="K1027" s="67">
        <f>19.7584 * CHOOSE(CONTROL!$C$23, $C$13, 100%, $E$13)</f>
        <v>19.758400000000002</v>
      </c>
    </row>
    <row r="1028" spans="1:11" ht="15">
      <c r="A1028" s="13">
        <v>72411</v>
      </c>
      <c r="B1028" s="66">
        <f>17.6152 * CHOOSE(CONTROL!$C$23, $C$13, 100%, $E$13)</f>
        <v>17.615200000000002</v>
      </c>
      <c r="C1028" s="66">
        <f>17.6152 * CHOOSE(CONTROL!$C$23, $C$13, 100%, $E$13)</f>
        <v>17.615200000000002</v>
      </c>
      <c r="D1028" s="66">
        <f>17.6191 * CHOOSE(CONTROL!$C$23, $C$13, 100%, $E$13)</f>
        <v>17.6191</v>
      </c>
      <c r="E1028" s="67">
        <f>20.0531 * CHOOSE(CONTROL!$C$23, $C$13, 100%, $E$13)</f>
        <v>20.053100000000001</v>
      </c>
      <c r="F1028" s="67">
        <f>20.0531 * CHOOSE(CONTROL!$C$23, $C$13, 100%, $E$13)</f>
        <v>20.053100000000001</v>
      </c>
      <c r="G1028" s="67">
        <f>20.0579 * CHOOSE(CONTROL!$C$23, $C$13, 100%, $E$13)</f>
        <v>20.0579</v>
      </c>
      <c r="H1028" s="67">
        <f>37.1673* CHOOSE(CONTROL!$C$23, $C$13, 100%, $E$13)</f>
        <v>37.167299999999997</v>
      </c>
      <c r="I1028" s="67">
        <f>37.172 * CHOOSE(CONTROL!$C$23, $C$13, 100%, $E$13)</f>
        <v>37.171999999999997</v>
      </c>
      <c r="J1028" s="67">
        <f>20.0531 * CHOOSE(CONTROL!$C$23, $C$13, 100%, $E$13)</f>
        <v>20.053100000000001</v>
      </c>
      <c r="K1028" s="67">
        <f>20.0579 * CHOOSE(CONTROL!$C$23, $C$13, 100%, $E$13)</f>
        <v>20.0579</v>
      </c>
    </row>
    <row r="1029" spans="1:11" ht="15">
      <c r="A1029" s="13">
        <v>72441</v>
      </c>
      <c r="B1029" s="66">
        <f>17.6152 * CHOOSE(CONTROL!$C$23, $C$13, 100%, $E$13)</f>
        <v>17.615200000000002</v>
      </c>
      <c r="C1029" s="66">
        <f>17.6152 * CHOOSE(CONTROL!$C$23, $C$13, 100%, $E$13)</f>
        <v>17.615200000000002</v>
      </c>
      <c r="D1029" s="66">
        <f>17.6207 * CHOOSE(CONTROL!$C$23, $C$13, 100%, $E$13)</f>
        <v>17.620699999999999</v>
      </c>
      <c r="E1029" s="67">
        <f>20.167 * CHOOSE(CONTROL!$C$23, $C$13, 100%, $E$13)</f>
        <v>20.167000000000002</v>
      </c>
      <c r="F1029" s="67">
        <f>20.167 * CHOOSE(CONTROL!$C$23, $C$13, 100%, $E$13)</f>
        <v>20.167000000000002</v>
      </c>
      <c r="G1029" s="67">
        <f>20.1737 * CHOOSE(CONTROL!$C$23, $C$13, 100%, $E$13)</f>
        <v>20.1737</v>
      </c>
      <c r="H1029" s="67">
        <f>37.2447* CHOOSE(CONTROL!$C$23, $C$13, 100%, $E$13)</f>
        <v>37.244700000000002</v>
      </c>
      <c r="I1029" s="67">
        <f>37.2514 * CHOOSE(CONTROL!$C$23, $C$13, 100%, $E$13)</f>
        <v>37.251399999999997</v>
      </c>
      <c r="J1029" s="67">
        <f>20.167 * CHOOSE(CONTROL!$C$23, $C$13, 100%, $E$13)</f>
        <v>20.167000000000002</v>
      </c>
      <c r="K1029" s="67">
        <f>20.1737 * CHOOSE(CONTROL!$C$23, $C$13, 100%, $E$13)</f>
        <v>20.1737</v>
      </c>
    </row>
    <row r="1030" spans="1:11" ht="15">
      <c r="A1030" s="13">
        <v>72472</v>
      </c>
      <c r="B1030" s="66">
        <f>17.6213 * CHOOSE(CONTROL!$C$23, $C$13, 100%, $E$13)</f>
        <v>17.621300000000002</v>
      </c>
      <c r="C1030" s="66">
        <f>17.6213 * CHOOSE(CONTROL!$C$23, $C$13, 100%, $E$13)</f>
        <v>17.621300000000002</v>
      </c>
      <c r="D1030" s="66">
        <f>17.6268 * CHOOSE(CONTROL!$C$23, $C$13, 100%, $E$13)</f>
        <v>17.626799999999999</v>
      </c>
      <c r="E1030" s="67">
        <f>20.0573 * CHOOSE(CONTROL!$C$23, $C$13, 100%, $E$13)</f>
        <v>20.057300000000001</v>
      </c>
      <c r="F1030" s="67">
        <f>20.0573 * CHOOSE(CONTROL!$C$23, $C$13, 100%, $E$13)</f>
        <v>20.057300000000001</v>
      </c>
      <c r="G1030" s="67">
        <f>20.0641 * CHOOSE(CONTROL!$C$23, $C$13, 100%, $E$13)</f>
        <v>20.0641</v>
      </c>
      <c r="H1030" s="67">
        <f>37.3223* CHOOSE(CONTROL!$C$23, $C$13, 100%, $E$13)</f>
        <v>37.322299999999998</v>
      </c>
      <c r="I1030" s="67">
        <f>37.329 * CHOOSE(CONTROL!$C$23, $C$13, 100%, $E$13)</f>
        <v>37.329000000000001</v>
      </c>
      <c r="J1030" s="67">
        <f>20.0573 * CHOOSE(CONTROL!$C$23, $C$13, 100%, $E$13)</f>
        <v>20.057300000000001</v>
      </c>
      <c r="K1030" s="67">
        <f>20.0641 * CHOOSE(CONTROL!$C$23, $C$13, 100%, $E$13)</f>
        <v>20.0641</v>
      </c>
    </row>
    <row r="1031" spans="1:11" ht="15">
      <c r="A1031" s="13">
        <v>72502</v>
      </c>
      <c r="B1031" s="66">
        <f>17.8861 * CHOOSE(CONTROL!$C$23, $C$13, 100%, $E$13)</f>
        <v>17.886099999999999</v>
      </c>
      <c r="C1031" s="66">
        <f>17.8861 * CHOOSE(CONTROL!$C$23, $C$13, 100%, $E$13)</f>
        <v>17.886099999999999</v>
      </c>
      <c r="D1031" s="66">
        <f>17.8916 * CHOOSE(CONTROL!$C$23, $C$13, 100%, $E$13)</f>
        <v>17.8916</v>
      </c>
      <c r="E1031" s="67">
        <f>20.3735 * CHOOSE(CONTROL!$C$23, $C$13, 100%, $E$13)</f>
        <v>20.3735</v>
      </c>
      <c r="F1031" s="67">
        <f>20.3735 * CHOOSE(CONTROL!$C$23, $C$13, 100%, $E$13)</f>
        <v>20.3735</v>
      </c>
      <c r="G1031" s="67">
        <f>20.3802 * CHOOSE(CONTROL!$C$23, $C$13, 100%, $E$13)</f>
        <v>20.380199999999999</v>
      </c>
      <c r="H1031" s="67">
        <f>37.4001* CHOOSE(CONTROL!$C$23, $C$13, 100%, $E$13)</f>
        <v>37.400100000000002</v>
      </c>
      <c r="I1031" s="67">
        <f>37.4068 * CHOOSE(CONTROL!$C$23, $C$13, 100%, $E$13)</f>
        <v>37.406799999999997</v>
      </c>
      <c r="J1031" s="67">
        <f>20.3735 * CHOOSE(CONTROL!$C$23, $C$13, 100%, $E$13)</f>
        <v>20.3735</v>
      </c>
      <c r="K1031" s="67">
        <f>20.3802 * CHOOSE(CONTROL!$C$23, $C$13, 100%, $E$13)</f>
        <v>20.380199999999999</v>
      </c>
    </row>
    <row r="1032" spans="1:11" ht="15">
      <c r="A1032" s="13">
        <v>72533</v>
      </c>
      <c r="B1032" s="66">
        <f>17.8928 * CHOOSE(CONTROL!$C$23, $C$13, 100%, $E$13)</f>
        <v>17.892800000000001</v>
      </c>
      <c r="C1032" s="66">
        <f>17.8928 * CHOOSE(CONTROL!$C$23, $C$13, 100%, $E$13)</f>
        <v>17.892800000000001</v>
      </c>
      <c r="D1032" s="66">
        <f>17.8983 * CHOOSE(CONTROL!$C$23, $C$13, 100%, $E$13)</f>
        <v>17.898299999999999</v>
      </c>
      <c r="E1032" s="67">
        <f>20.0365 * CHOOSE(CONTROL!$C$23, $C$13, 100%, $E$13)</f>
        <v>20.0365</v>
      </c>
      <c r="F1032" s="67">
        <f>20.0365 * CHOOSE(CONTROL!$C$23, $C$13, 100%, $E$13)</f>
        <v>20.0365</v>
      </c>
      <c r="G1032" s="67">
        <f>20.0433 * CHOOSE(CONTROL!$C$23, $C$13, 100%, $E$13)</f>
        <v>20.043299999999999</v>
      </c>
      <c r="H1032" s="67">
        <f>37.478* CHOOSE(CONTROL!$C$23, $C$13, 100%, $E$13)</f>
        <v>37.478000000000002</v>
      </c>
      <c r="I1032" s="67">
        <f>37.4847 * CHOOSE(CONTROL!$C$23, $C$13, 100%, $E$13)</f>
        <v>37.484699999999997</v>
      </c>
      <c r="J1032" s="67">
        <f>20.0365 * CHOOSE(CONTROL!$C$23, $C$13, 100%, $E$13)</f>
        <v>20.0365</v>
      </c>
      <c r="K1032" s="67">
        <f>20.0433 * CHOOSE(CONTROL!$C$23, $C$13, 100%, $E$13)</f>
        <v>20.043299999999999</v>
      </c>
    </row>
    <row r="1033" spans="1:11" ht="15">
      <c r="A1033" s="13">
        <v>72564</v>
      </c>
      <c r="B1033" s="66">
        <f>17.8898 * CHOOSE(CONTROL!$C$23, $C$13, 100%, $E$13)</f>
        <v>17.889800000000001</v>
      </c>
      <c r="C1033" s="66">
        <f>17.8898 * CHOOSE(CONTROL!$C$23, $C$13, 100%, $E$13)</f>
        <v>17.889800000000001</v>
      </c>
      <c r="D1033" s="66">
        <f>17.8953 * CHOOSE(CONTROL!$C$23, $C$13, 100%, $E$13)</f>
        <v>17.895299999999999</v>
      </c>
      <c r="E1033" s="67">
        <f>19.9965 * CHOOSE(CONTROL!$C$23, $C$13, 100%, $E$13)</f>
        <v>19.996500000000001</v>
      </c>
      <c r="F1033" s="67">
        <f>19.9965 * CHOOSE(CONTROL!$C$23, $C$13, 100%, $E$13)</f>
        <v>19.996500000000001</v>
      </c>
      <c r="G1033" s="67">
        <f>20.0032 * CHOOSE(CONTROL!$C$23, $C$13, 100%, $E$13)</f>
        <v>20.0032</v>
      </c>
      <c r="H1033" s="67">
        <f>37.556* CHOOSE(CONTROL!$C$23, $C$13, 100%, $E$13)</f>
        <v>37.555999999999997</v>
      </c>
      <c r="I1033" s="67">
        <f>37.5628 * CHOOSE(CONTROL!$C$23, $C$13, 100%, $E$13)</f>
        <v>37.562800000000003</v>
      </c>
      <c r="J1033" s="67">
        <f>19.9965 * CHOOSE(CONTROL!$C$23, $C$13, 100%, $E$13)</f>
        <v>19.996500000000001</v>
      </c>
      <c r="K1033" s="67">
        <f>20.0032 * CHOOSE(CONTROL!$C$23, $C$13, 100%, $E$13)</f>
        <v>20.0032</v>
      </c>
    </row>
    <row r="1034" spans="1:11" ht="15">
      <c r="A1034" s="13">
        <v>72594</v>
      </c>
      <c r="B1034" s="66">
        <f>17.9294 * CHOOSE(CONTROL!$C$23, $C$13, 100%, $E$13)</f>
        <v>17.929400000000001</v>
      </c>
      <c r="C1034" s="66">
        <f>17.9294 * CHOOSE(CONTROL!$C$23, $C$13, 100%, $E$13)</f>
        <v>17.929400000000001</v>
      </c>
      <c r="D1034" s="66">
        <f>17.9333 * CHOOSE(CONTROL!$C$23, $C$13, 100%, $E$13)</f>
        <v>17.933299999999999</v>
      </c>
      <c r="E1034" s="67">
        <f>20.1349 * CHOOSE(CONTROL!$C$23, $C$13, 100%, $E$13)</f>
        <v>20.134899999999998</v>
      </c>
      <c r="F1034" s="67">
        <f>20.1349 * CHOOSE(CONTROL!$C$23, $C$13, 100%, $E$13)</f>
        <v>20.134899999999998</v>
      </c>
      <c r="G1034" s="67">
        <f>20.1396 * CHOOSE(CONTROL!$C$23, $C$13, 100%, $E$13)</f>
        <v>20.139600000000002</v>
      </c>
      <c r="H1034" s="67">
        <f>37.6343* CHOOSE(CONTROL!$C$23, $C$13, 100%, $E$13)</f>
        <v>37.634300000000003</v>
      </c>
      <c r="I1034" s="67">
        <f>37.6391 * CHOOSE(CONTROL!$C$23, $C$13, 100%, $E$13)</f>
        <v>37.639099999999999</v>
      </c>
      <c r="J1034" s="67">
        <f>20.1349 * CHOOSE(CONTROL!$C$23, $C$13, 100%, $E$13)</f>
        <v>20.134899999999998</v>
      </c>
      <c r="K1034" s="67">
        <f>20.1396 * CHOOSE(CONTROL!$C$23, $C$13, 100%, $E$13)</f>
        <v>20.139600000000002</v>
      </c>
    </row>
    <row r="1035" spans="1:11" ht="15">
      <c r="A1035" s="13">
        <v>72625</v>
      </c>
      <c r="B1035" s="66">
        <f>17.9324 * CHOOSE(CONTROL!$C$23, $C$13, 100%, $E$13)</f>
        <v>17.932400000000001</v>
      </c>
      <c r="C1035" s="66">
        <f>17.9324 * CHOOSE(CONTROL!$C$23, $C$13, 100%, $E$13)</f>
        <v>17.932400000000001</v>
      </c>
      <c r="D1035" s="66">
        <f>17.9363 * CHOOSE(CONTROL!$C$23, $C$13, 100%, $E$13)</f>
        <v>17.936299999999999</v>
      </c>
      <c r="E1035" s="67">
        <f>20.2129 * CHOOSE(CONTROL!$C$23, $C$13, 100%, $E$13)</f>
        <v>20.212900000000001</v>
      </c>
      <c r="F1035" s="67">
        <f>20.2129 * CHOOSE(CONTROL!$C$23, $C$13, 100%, $E$13)</f>
        <v>20.212900000000001</v>
      </c>
      <c r="G1035" s="67">
        <f>20.2177 * CHOOSE(CONTROL!$C$23, $C$13, 100%, $E$13)</f>
        <v>20.217700000000001</v>
      </c>
      <c r="H1035" s="67">
        <f>37.7127* CHOOSE(CONTROL!$C$23, $C$13, 100%, $E$13)</f>
        <v>37.712699999999998</v>
      </c>
      <c r="I1035" s="67">
        <f>37.7175 * CHOOSE(CONTROL!$C$23, $C$13, 100%, $E$13)</f>
        <v>37.717500000000001</v>
      </c>
      <c r="J1035" s="67">
        <f>20.2129 * CHOOSE(CONTROL!$C$23, $C$13, 100%, $E$13)</f>
        <v>20.212900000000001</v>
      </c>
      <c r="K1035" s="67">
        <f>20.2177 * CHOOSE(CONTROL!$C$23, $C$13, 100%, $E$13)</f>
        <v>20.217700000000001</v>
      </c>
    </row>
    <row r="1036" spans="1:11" ht="15">
      <c r="A1036" s="13">
        <v>72655</v>
      </c>
      <c r="B1036" s="66">
        <f>17.9324 * CHOOSE(CONTROL!$C$23, $C$13, 100%, $E$13)</f>
        <v>17.932400000000001</v>
      </c>
      <c r="C1036" s="66">
        <f>17.9324 * CHOOSE(CONTROL!$C$23, $C$13, 100%, $E$13)</f>
        <v>17.932400000000001</v>
      </c>
      <c r="D1036" s="66">
        <f>17.9363 * CHOOSE(CONTROL!$C$23, $C$13, 100%, $E$13)</f>
        <v>17.936299999999999</v>
      </c>
      <c r="E1036" s="67">
        <f>20.0231 * CHOOSE(CONTROL!$C$23, $C$13, 100%, $E$13)</f>
        <v>20.023099999999999</v>
      </c>
      <c r="F1036" s="67">
        <f>20.0231 * CHOOSE(CONTROL!$C$23, $C$13, 100%, $E$13)</f>
        <v>20.023099999999999</v>
      </c>
      <c r="G1036" s="67">
        <f>20.0279 * CHOOSE(CONTROL!$C$23, $C$13, 100%, $E$13)</f>
        <v>20.027899999999999</v>
      </c>
      <c r="H1036" s="67">
        <f>37.7913* CHOOSE(CONTROL!$C$23, $C$13, 100%, $E$13)</f>
        <v>37.7913</v>
      </c>
      <c r="I1036" s="67">
        <f>37.796 * CHOOSE(CONTROL!$C$23, $C$13, 100%, $E$13)</f>
        <v>37.795999999999999</v>
      </c>
      <c r="J1036" s="67">
        <f>20.0231 * CHOOSE(CONTROL!$C$23, $C$13, 100%, $E$13)</f>
        <v>20.023099999999999</v>
      </c>
      <c r="K1036" s="67">
        <f>20.0279 * CHOOSE(CONTROL!$C$23, $C$13, 100%, $E$13)</f>
        <v>20.027899999999999</v>
      </c>
    </row>
    <row r="1037" spans="1:11" ht="15">
      <c r="A1037" s="13">
        <v>72686</v>
      </c>
      <c r="B1037" s="66">
        <f>17.8479 * CHOOSE(CONTROL!$C$23, $C$13, 100%, $E$13)</f>
        <v>17.847899999999999</v>
      </c>
      <c r="C1037" s="66">
        <f>17.8479 * CHOOSE(CONTROL!$C$23, $C$13, 100%, $E$13)</f>
        <v>17.847899999999999</v>
      </c>
      <c r="D1037" s="66">
        <f>17.8517 * CHOOSE(CONTROL!$C$23, $C$13, 100%, $E$13)</f>
        <v>17.851700000000001</v>
      </c>
      <c r="E1037" s="67">
        <f>20.0886 * CHOOSE(CONTROL!$C$23, $C$13, 100%, $E$13)</f>
        <v>20.0886</v>
      </c>
      <c r="F1037" s="67">
        <f>20.0886 * CHOOSE(CONTROL!$C$23, $C$13, 100%, $E$13)</f>
        <v>20.0886</v>
      </c>
      <c r="G1037" s="67">
        <f>20.0933 * CHOOSE(CONTROL!$C$23, $C$13, 100%, $E$13)</f>
        <v>20.093299999999999</v>
      </c>
      <c r="H1037" s="67">
        <f>37.4185* CHOOSE(CONTROL!$C$23, $C$13, 100%, $E$13)</f>
        <v>37.418500000000002</v>
      </c>
      <c r="I1037" s="67">
        <f>37.4233 * CHOOSE(CONTROL!$C$23, $C$13, 100%, $E$13)</f>
        <v>37.423299999999998</v>
      </c>
      <c r="J1037" s="67">
        <f>20.0886 * CHOOSE(CONTROL!$C$23, $C$13, 100%, $E$13)</f>
        <v>20.0886</v>
      </c>
      <c r="K1037" s="67">
        <f>20.0933 * CHOOSE(CONTROL!$C$23, $C$13, 100%, $E$13)</f>
        <v>20.093299999999999</v>
      </c>
    </row>
    <row r="1038" spans="1:11" ht="15">
      <c r="A1038" s="13">
        <v>72717</v>
      </c>
      <c r="B1038" s="66">
        <f>17.8448 * CHOOSE(CONTROL!$C$23, $C$13, 100%, $E$13)</f>
        <v>17.844799999999999</v>
      </c>
      <c r="C1038" s="66">
        <f>17.8448 * CHOOSE(CONTROL!$C$23, $C$13, 100%, $E$13)</f>
        <v>17.844799999999999</v>
      </c>
      <c r="D1038" s="66">
        <f>17.8487 * CHOOSE(CONTROL!$C$23, $C$13, 100%, $E$13)</f>
        <v>17.848700000000001</v>
      </c>
      <c r="E1038" s="67">
        <f>19.7228 * CHOOSE(CONTROL!$C$23, $C$13, 100%, $E$13)</f>
        <v>19.722799999999999</v>
      </c>
      <c r="F1038" s="67">
        <f>19.7228 * CHOOSE(CONTROL!$C$23, $C$13, 100%, $E$13)</f>
        <v>19.722799999999999</v>
      </c>
      <c r="G1038" s="67">
        <f>19.7276 * CHOOSE(CONTROL!$C$23, $C$13, 100%, $E$13)</f>
        <v>19.727599999999999</v>
      </c>
      <c r="H1038" s="67">
        <f>37.4964* CHOOSE(CONTROL!$C$23, $C$13, 100%, $E$13)</f>
        <v>37.496400000000001</v>
      </c>
      <c r="I1038" s="67">
        <f>37.5012 * CHOOSE(CONTROL!$C$23, $C$13, 100%, $E$13)</f>
        <v>37.501199999999997</v>
      </c>
      <c r="J1038" s="67">
        <f>19.7228 * CHOOSE(CONTROL!$C$23, $C$13, 100%, $E$13)</f>
        <v>19.722799999999999</v>
      </c>
      <c r="K1038" s="67">
        <f>19.7276 * CHOOSE(CONTROL!$C$23, $C$13, 100%, $E$13)</f>
        <v>19.727599999999999</v>
      </c>
    </row>
    <row r="1039" spans="1:11" ht="15">
      <c r="A1039" s="13">
        <v>72745</v>
      </c>
      <c r="B1039" s="66">
        <f>17.8418 * CHOOSE(CONTROL!$C$23, $C$13, 100%, $E$13)</f>
        <v>17.841799999999999</v>
      </c>
      <c r="C1039" s="66">
        <f>17.8418 * CHOOSE(CONTROL!$C$23, $C$13, 100%, $E$13)</f>
        <v>17.841799999999999</v>
      </c>
      <c r="D1039" s="66">
        <f>17.8457 * CHOOSE(CONTROL!$C$23, $C$13, 100%, $E$13)</f>
        <v>17.845700000000001</v>
      </c>
      <c r="E1039" s="67">
        <f>20.0074 * CHOOSE(CONTROL!$C$23, $C$13, 100%, $E$13)</f>
        <v>20.007400000000001</v>
      </c>
      <c r="F1039" s="67">
        <f>20.0074 * CHOOSE(CONTROL!$C$23, $C$13, 100%, $E$13)</f>
        <v>20.007400000000001</v>
      </c>
      <c r="G1039" s="67">
        <f>20.0121 * CHOOSE(CONTROL!$C$23, $C$13, 100%, $E$13)</f>
        <v>20.0121</v>
      </c>
      <c r="H1039" s="67">
        <f>37.5746* CHOOSE(CONTROL!$C$23, $C$13, 100%, $E$13)</f>
        <v>37.574599999999997</v>
      </c>
      <c r="I1039" s="67">
        <f>37.5793 * CHOOSE(CONTROL!$C$23, $C$13, 100%, $E$13)</f>
        <v>37.579300000000003</v>
      </c>
      <c r="J1039" s="67">
        <f>20.0074 * CHOOSE(CONTROL!$C$23, $C$13, 100%, $E$13)</f>
        <v>20.007400000000001</v>
      </c>
      <c r="K1039" s="67">
        <f>20.0121 * CHOOSE(CONTROL!$C$23, $C$13, 100%, $E$13)</f>
        <v>20.0121</v>
      </c>
    </row>
    <row r="1040" spans="1:11" ht="15">
      <c r="A1040" s="13">
        <v>72776</v>
      </c>
      <c r="B1040" s="66">
        <f>17.851 * CHOOSE(CONTROL!$C$23, $C$13, 100%, $E$13)</f>
        <v>17.850999999999999</v>
      </c>
      <c r="C1040" s="66">
        <f>17.851 * CHOOSE(CONTROL!$C$23, $C$13, 100%, $E$13)</f>
        <v>17.850999999999999</v>
      </c>
      <c r="D1040" s="66">
        <f>17.8549 * CHOOSE(CONTROL!$C$23, $C$13, 100%, $E$13)</f>
        <v>17.854900000000001</v>
      </c>
      <c r="E1040" s="67">
        <f>20.311 * CHOOSE(CONTROL!$C$23, $C$13, 100%, $E$13)</f>
        <v>20.311</v>
      </c>
      <c r="F1040" s="67">
        <f>20.311 * CHOOSE(CONTROL!$C$23, $C$13, 100%, $E$13)</f>
        <v>20.311</v>
      </c>
      <c r="G1040" s="67">
        <f>20.3157 * CHOOSE(CONTROL!$C$23, $C$13, 100%, $E$13)</f>
        <v>20.3157</v>
      </c>
      <c r="H1040" s="67">
        <f>37.6528* CHOOSE(CONTROL!$C$23, $C$13, 100%, $E$13)</f>
        <v>37.652799999999999</v>
      </c>
      <c r="I1040" s="67">
        <f>37.6576 * CHOOSE(CONTROL!$C$23, $C$13, 100%, $E$13)</f>
        <v>37.657600000000002</v>
      </c>
      <c r="J1040" s="67">
        <f>20.311 * CHOOSE(CONTROL!$C$23, $C$13, 100%, $E$13)</f>
        <v>20.311</v>
      </c>
      <c r="K1040" s="67">
        <f>20.3157 * CHOOSE(CONTROL!$C$23, $C$13, 100%, $E$13)</f>
        <v>20.3157</v>
      </c>
    </row>
    <row r="1041" spans="1:11" ht="15">
      <c r="A1041" s="13">
        <v>72806</v>
      </c>
      <c r="B1041" s="66">
        <f>17.851 * CHOOSE(CONTROL!$C$23, $C$13, 100%, $E$13)</f>
        <v>17.850999999999999</v>
      </c>
      <c r="C1041" s="66">
        <f>17.851 * CHOOSE(CONTROL!$C$23, $C$13, 100%, $E$13)</f>
        <v>17.850999999999999</v>
      </c>
      <c r="D1041" s="66">
        <f>17.8565 * CHOOSE(CONTROL!$C$23, $C$13, 100%, $E$13)</f>
        <v>17.8565</v>
      </c>
      <c r="E1041" s="67">
        <f>20.4264 * CHOOSE(CONTROL!$C$23, $C$13, 100%, $E$13)</f>
        <v>20.426400000000001</v>
      </c>
      <c r="F1041" s="67">
        <f>20.4264 * CHOOSE(CONTROL!$C$23, $C$13, 100%, $E$13)</f>
        <v>20.426400000000001</v>
      </c>
      <c r="G1041" s="67">
        <f>20.4331 * CHOOSE(CONTROL!$C$23, $C$13, 100%, $E$13)</f>
        <v>20.4331</v>
      </c>
      <c r="H1041" s="67">
        <f>37.7313* CHOOSE(CONTROL!$C$23, $C$13, 100%, $E$13)</f>
        <v>37.731299999999997</v>
      </c>
      <c r="I1041" s="67">
        <f>37.738 * CHOOSE(CONTROL!$C$23, $C$13, 100%, $E$13)</f>
        <v>37.738</v>
      </c>
      <c r="J1041" s="67">
        <f>20.4264 * CHOOSE(CONTROL!$C$23, $C$13, 100%, $E$13)</f>
        <v>20.426400000000001</v>
      </c>
      <c r="K1041" s="67">
        <f>20.4331 * CHOOSE(CONTROL!$C$23, $C$13, 100%, $E$13)</f>
        <v>20.4331</v>
      </c>
    </row>
    <row r="1042" spans="1:11" ht="15">
      <c r="A1042" s="13">
        <v>72837</v>
      </c>
      <c r="B1042" s="66">
        <f>17.8571 * CHOOSE(CONTROL!$C$23, $C$13, 100%, $E$13)</f>
        <v>17.857099999999999</v>
      </c>
      <c r="C1042" s="66">
        <f>17.8571 * CHOOSE(CONTROL!$C$23, $C$13, 100%, $E$13)</f>
        <v>17.857099999999999</v>
      </c>
      <c r="D1042" s="66">
        <f>17.8626 * CHOOSE(CONTROL!$C$23, $C$13, 100%, $E$13)</f>
        <v>17.8626</v>
      </c>
      <c r="E1042" s="67">
        <f>20.3152 * CHOOSE(CONTROL!$C$23, $C$13, 100%, $E$13)</f>
        <v>20.315200000000001</v>
      </c>
      <c r="F1042" s="67">
        <f>20.3152 * CHOOSE(CONTROL!$C$23, $C$13, 100%, $E$13)</f>
        <v>20.315200000000001</v>
      </c>
      <c r="G1042" s="67">
        <f>20.3219 * CHOOSE(CONTROL!$C$23, $C$13, 100%, $E$13)</f>
        <v>20.321899999999999</v>
      </c>
      <c r="H1042" s="67">
        <f>37.8099* CHOOSE(CONTROL!$C$23, $C$13, 100%, $E$13)</f>
        <v>37.809899999999999</v>
      </c>
      <c r="I1042" s="67">
        <f>37.8166 * CHOOSE(CONTROL!$C$23, $C$13, 100%, $E$13)</f>
        <v>37.816600000000001</v>
      </c>
      <c r="J1042" s="67">
        <f>20.3152 * CHOOSE(CONTROL!$C$23, $C$13, 100%, $E$13)</f>
        <v>20.315200000000001</v>
      </c>
      <c r="K1042" s="67">
        <f>20.3219 * CHOOSE(CONTROL!$C$23, $C$13, 100%, $E$13)</f>
        <v>20.321899999999999</v>
      </c>
    </row>
    <row r="1043" spans="1:11" ht="15">
      <c r="A1043" s="13">
        <v>72867</v>
      </c>
      <c r="B1043" s="66">
        <f>18.1253 * CHOOSE(CONTROL!$C$23, $C$13, 100%, $E$13)</f>
        <v>18.125299999999999</v>
      </c>
      <c r="C1043" s="66">
        <f>18.1253 * CHOOSE(CONTROL!$C$23, $C$13, 100%, $E$13)</f>
        <v>18.125299999999999</v>
      </c>
      <c r="D1043" s="66">
        <f>18.1308 * CHOOSE(CONTROL!$C$23, $C$13, 100%, $E$13)</f>
        <v>18.130800000000001</v>
      </c>
      <c r="E1043" s="67">
        <f>20.6353 * CHOOSE(CONTROL!$C$23, $C$13, 100%, $E$13)</f>
        <v>20.635300000000001</v>
      </c>
      <c r="F1043" s="67">
        <f>20.6353 * CHOOSE(CONTROL!$C$23, $C$13, 100%, $E$13)</f>
        <v>20.635300000000001</v>
      </c>
      <c r="G1043" s="67">
        <f>20.642 * CHOOSE(CONTROL!$C$23, $C$13, 100%, $E$13)</f>
        <v>20.641999999999999</v>
      </c>
      <c r="H1043" s="67">
        <f>37.8887* CHOOSE(CONTROL!$C$23, $C$13, 100%, $E$13)</f>
        <v>37.8887</v>
      </c>
      <c r="I1043" s="67">
        <f>37.8954 * CHOOSE(CONTROL!$C$23, $C$13, 100%, $E$13)</f>
        <v>37.895400000000002</v>
      </c>
      <c r="J1043" s="67">
        <f>20.6353 * CHOOSE(CONTROL!$C$23, $C$13, 100%, $E$13)</f>
        <v>20.635300000000001</v>
      </c>
      <c r="K1043" s="67">
        <f>20.642 * CHOOSE(CONTROL!$C$23, $C$13, 100%, $E$13)</f>
        <v>20.641999999999999</v>
      </c>
    </row>
    <row r="1044" spans="1:11" ht="15">
      <c r="A1044" s="13">
        <v>72898</v>
      </c>
      <c r="B1044" s="66">
        <f>18.132 * CHOOSE(CONTROL!$C$23, $C$13, 100%, $E$13)</f>
        <v>18.132000000000001</v>
      </c>
      <c r="C1044" s="66">
        <f>18.132 * CHOOSE(CONTROL!$C$23, $C$13, 100%, $E$13)</f>
        <v>18.132000000000001</v>
      </c>
      <c r="D1044" s="66">
        <f>18.1375 * CHOOSE(CONTROL!$C$23, $C$13, 100%, $E$13)</f>
        <v>18.137499999999999</v>
      </c>
      <c r="E1044" s="67">
        <f>20.2936 * CHOOSE(CONTROL!$C$23, $C$13, 100%, $E$13)</f>
        <v>20.293600000000001</v>
      </c>
      <c r="F1044" s="67">
        <f>20.2936 * CHOOSE(CONTROL!$C$23, $C$13, 100%, $E$13)</f>
        <v>20.293600000000001</v>
      </c>
      <c r="G1044" s="67">
        <f>20.3003 * CHOOSE(CONTROL!$C$23, $C$13, 100%, $E$13)</f>
        <v>20.3003</v>
      </c>
      <c r="H1044" s="67">
        <f>37.9676* CHOOSE(CONTROL!$C$23, $C$13, 100%, $E$13)</f>
        <v>37.967599999999997</v>
      </c>
      <c r="I1044" s="67">
        <f>37.9743 * CHOOSE(CONTROL!$C$23, $C$13, 100%, $E$13)</f>
        <v>37.974299999999999</v>
      </c>
      <c r="J1044" s="67">
        <f>20.2936 * CHOOSE(CONTROL!$C$23, $C$13, 100%, $E$13)</f>
        <v>20.293600000000001</v>
      </c>
      <c r="K1044" s="67">
        <f>20.3003 * CHOOSE(CONTROL!$C$23, $C$13, 100%, $E$13)</f>
        <v>20.3003</v>
      </c>
    </row>
    <row r="1045" spans="1:11" ht="15">
      <c r="A1045" s="13">
        <v>72929</v>
      </c>
      <c r="B1045" s="66">
        <f>18.1289 * CHOOSE(CONTROL!$C$23, $C$13, 100%, $E$13)</f>
        <v>18.128900000000002</v>
      </c>
      <c r="C1045" s="66">
        <f>18.1289 * CHOOSE(CONTROL!$C$23, $C$13, 100%, $E$13)</f>
        <v>18.128900000000002</v>
      </c>
      <c r="D1045" s="66">
        <f>18.1344 * CHOOSE(CONTROL!$C$23, $C$13, 100%, $E$13)</f>
        <v>18.134399999999999</v>
      </c>
      <c r="E1045" s="67">
        <f>20.253 * CHOOSE(CONTROL!$C$23, $C$13, 100%, $E$13)</f>
        <v>20.253</v>
      </c>
      <c r="F1045" s="67">
        <f>20.253 * CHOOSE(CONTROL!$C$23, $C$13, 100%, $E$13)</f>
        <v>20.253</v>
      </c>
      <c r="G1045" s="67">
        <f>20.2597 * CHOOSE(CONTROL!$C$23, $C$13, 100%, $E$13)</f>
        <v>20.259699999999999</v>
      </c>
      <c r="H1045" s="67">
        <f>38.0467* CHOOSE(CONTROL!$C$23, $C$13, 100%, $E$13)</f>
        <v>38.046700000000001</v>
      </c>
      <c r="I1045" s="67">
        <f>38.0534 * CHOOSE(CONTROL!$C$23, $C$13, 100%, $E$13)</f>
        <v>38.053400000000003</v>
      </c>
      <c r="J1045" s="67">
        <f>20.253 * CHOOSE(CONTROL!$C$23, $C$13, 100%, $E$13)</f>
        <v>20.253</v>
      </c>
      <c r="K1045" s="67">
        <f>20.2597 * CHOOSE(CONTROL!$C$23, $C$13, 100%, $E$13)</f>
        <v>20.259699999999999</v>
      </c>
    </row>
    <row r="1046" spans="1:11" ht="15">
      <c r="A1046" s="13">
        <v>72959</v>
      </c>
      <c r="B1046" s="66">
        <f>18.1693 * CHOOSE(CONTROL!$C$23, $C$13, 100%, $E$13)</f>
        <v>18.1693</v>
      </c>
      <c r="C1046" s="66">
        <f>18.1693 * CHOOSE(CONTROL!$C$23, $C$13, 100%, $E$13)</f>
        <v>18.1693</v>
      </c>
      <c r="D1046" s="66">
        <f>18.1732 * CHOOSE(CONTROL!$C$23, $C$13, 100%, $E$13)</f>
        <v>18.173200000000001</v>
      </c>
      <c r="E1046" s="67">
        <f>20.3935 * CHOOSE(CONTROL!$C$23, $C$13, 100%, $E$13)</f>
        <v>20.3935</v>
      </c>
      <c r="F1046" s="67">
        <f>20.3935 * CHOOSE(CONTROL!$C$23, $C$13, 100%, $E$13)</f>
        <v>20.3935</v>
      </c>
      <c r="G1046" s="67">
        <f>20.3983 * CHOOSE(CONTROL!$C$23, $C$13, 100%, $E$13)</f>
        <v>20.398299999999999</v>
      </c>
      <c r="H1046" s="67">
        <f>38.126* CHOOSE(CONTROL!$C$23, $C$13, 100%, $E$13)</f>
        <v>38.125999999999998</v>
      </c>
      <c r="I1046" s="67">
        <f>38.1307 * CHOOSE(CONTROL!$C$23, $C$13, 100%, $E$13)</f>
        <v>38.130699999999997</v>
      </c>
      <c r="J1046" s="67">
        <f>20.3935 * CHOOSE(CONTROL!$C$23, $C$13, 100%, $E$13)</f>
        <v>20.3935</v>
      </c>
      <c r="K1046" s="67">
        <f>20.3983 * CHOOSE(CONTROL!$C$23, $C$13, 100%, $E$13)</f>
        <v>20.398299999999999</v>
      </c>
    </row>
    <row r="1047" spans="1:11" ht="15">
      <c r="A1047" s="13">
        <v>72990</v>
      </c>
      <c r="B1047" s="66">
        <f>18.1724 * CHOOSE(CONTROL!$C$23, $C$13, 100%, $E$13)</f>
        <v>18.1724</v>
      </c>
      <c r="C1047" s="66">
        <f>18.1724 * CHOOSE(CONTROL!$C$23, $C$13, 100%, $E$13)</f>
        <v>18.1724</v>
      </c>
      <c r="D1047" s="66">
        <f>18.1762 * CHOOSE(CONTROL!$C$23, $C$13, 100%, $E$13)</f>
        <v>18.176200000000001</v>
      </c>
      <c r="E1047" s="67">
        <f>20.4726 * CHOOSE(CONTROL!$C$23, $C$13, 100%, $E$13)</f>
        <v>20.4726</v>
      </c>
      <c r="F1047" s="67">
        <f>20.4726 * CHOOSE(CONTROL!$C$23, $C$13, 100%, $E$13)</f>
        <v>20.4726</v>
      </c>
      <c r="G1047" s="67">
        <f>20.4774 * CHOOSE(CONTROL!$C$23, $C$13, 100%, $E$13)</f>
        <v>20.477399999999999</v>
      </c>
      <c r="H1047" s="67">
        <f>38.2054* CHOOSE(CONTROL!$C$23, $C$13, 100%, $E$13)</f>
        <v>38.205399999999997</v>
      </c>
      <c r="I1047" s="67">
        <f>38.2102 * CHOOSE(CONTROL!$C$23, $C$13, 100%, $E$13)</f>
        <v>38.2102</v>
      </c>
      <c r="J1047" s="67">
        <f>20.4726 * CHOOSE(CONTROL!$C$23, $C$13, 100%, $E$13)</f>
        <v>20.4726</v>
      </c>
      <c r="K1047" s="67">
        <f>20.4774 * CHOOSE(CONTROL!$C$23, $C$13, 100%, $E$13)</f>
        <v>20.477399999999999</v>
      </c>
    </row>
    <row r="1048" spans="1:11" ht="15">
      <c r="A1048" s="13">
        <v>73020</v>
      </c>
      <c r="B1048" s="66">
        <f>18.1724 * CHOOSE(CONTROL!$C$23, $C$13, 100%, $E$13)</f>
        <v>18.1724</v>
      </c>
      <c r="C1048" s="66">
        <f>18.1724 * CHOOSE(CONTROL!$C$23, $C$13, 100%, $E$13)</f>
        <v>18.1724</v>
      </c>
      <c r="D1048" s="66">
        <f>18.1762 * CHOOSE(CONTROL!$C$23, $C$13, 100%, $E$13)</f>
        <v>18.176200000000001</v>
      </c>
      <c r="E1048" s="67">
        <f>20.2802 * CHOOSE(CONTROL!$C$23, $C$13, 100%, $E$13)</f>
        <v>20.280200000000001</v>
      </c>
      <c r="F1048" s="67">
        <f>20.2802 * CHOOSE(CONTROL!$C$23, $C$13, 100%, $E$13)</f>
        <v>20.280200000000001</v>
      </c>
      <c r="G1048" s="67">
        <f>20.285 * CHOOSE(CONTROL!$C$23, $C$13, 100%, $E$13)</f>
        <v>20.285</v>
      </c>
      <c r="H1048" s="67">
        <f>38.285* CHOOSE(CONTROL!$C$23, $C$13, 100%, $E$13)</f>
        <v>38.284999999999997</v>
      </c>
      <c r="I1048" s="67">
        <f>38.2898 * CHOOSE(CONTROL!$C$23, $C$13, 100%, $E$13)</f>
        <v>38.2898</v>
      </c>
      <c r="J1048" s="67">
        <f>20.2802 * CHOOSE(CONTROL!$C$23, $C$13, 100%, $E$13)</f>
        <v>20.280200000000001</v>
      </c>
      <c r="K1048" s="67">
        <f>20.285 * CHOOSE(CONTROL!$C$23, $C$13, 100%, $E$13)</f>
        <v>20.285</v>
      </c>
    </row>
    <row r="1049" spans="1:11" ht="15">
      <c r="A1049" s="13">
        <v>73051</v>
      </c>
      <c r="B1049" s="66">
        <f>18.0834 * CHOOSE(CONTROL!$C$23, $C$13, 100%, $E$13)</f>
        <v>18.083400000000001</v>
      </c>
      <c r="C1049" s="66">
        <f>18.0834 * CHOOSE(CONTROL!$C$23, $C$13, 100%, $E$13)</f>
        <v>18.083400000000001</v>
      </c>
      <c r="D1049" s="66">
        <f>18.0873 * CHOOSE(CONTROL!$C$23, $C$13, 100%, $E$13)</f>
        <v>18.087299999999999</v>
      </c>
      <c r="E1049" s="67">
        <f>20.3433 * CHOOSE(CONTROL!$C$23, $C$13, 100%, $E$13)</f>
        <v>20.343299999999999</v>
      </c>
      <c r="F1049" s="67">
        <f>20.3433 * CHOOSE(CONTROL!$C$23, $C$13, 100%, $E$13)</f>
        <v>20.343299999999999</v>
      </c>
      <c r="G1049" s="67">
        <f>20.348 * CHOOSE(CONTROL!$C$23, $C$13, 100%, $E$13)</f>
        <v>20.347999999999999</v>
      </c>
      <c r="H1049" s="67">
        <f>37.901* CHOOSE(CONTROL!$C$23, $C$13, 100%, $E$13)</f>
        <v>37.901000000000003</v>
      </c>
      <c r="I1049" s="67">
        <f>37.9058 * CHOOSE(CONTROL!$C$23, $C$13, 100%, $E$13)</f>
        <v>37.905799999999999</v>
      </c>
      <c r="J1049" s="67">
        <f>20.3433 * CHOOSE(CONTROL!$C$23, $C$13, 100%, $E$13)</f>
        <v>20.343299999999999</v>
      </c>
      <c r="K1049" s="67">
        <f>20.348 * CHOOSE(CONTROL!$C$23, $C$13, 100%, $E$13)</f>
        <v>20.347999999999999</v>
      </c>
    </row>
    <row r="1050" spans="1:11" ht="15">
      <c r="A1050" s="13">
        <v>73082</v>
      </c>
      <c r="B1050" s="66">
        <f>18.0804 * CHOOSE(CONTROL!$C$23, $C$13, 100%, $E$13)</f>
        <v>18.080400000000001</v>
      </c>
      <c r="C1050" s="66">
        <f>18.0804 * CHOOSE(CONTROL!$C$23, $C$13, 100%, $E$13)</f>
        <v>18.080400000000001</v>
      </c>
      <c r="D1050" s="66">
        <f>18.0843 * CHOOSE(CONTROL!$C$23, $C$13, 100%, $E$13)</f>
        <v>18.084299999999999</v>
      </c>
      <c r="E1050" s="67">
        <f>19.9726 * CHOOSE(CONTROL!$C$23, $C$13, 100%, $E$13)</f>
        <v>19.9726</v>
      </c>
      <c r="F1050" s="67">
        <f>19.9726 * CHOOSE(CONTROL!$C$23, $C$13, 100%, $E$13)</f>
        <v>19.9726</v>
      </c>
      <c r="G1050" s="67">
        <f>19.9774 * CHOOSE(CONTROL!$C$23, $C$13, 100%, $E$13)</f>
        <v>19.977399999999999</v>
      </c>
      <c r="H1050" s="67">
        <f>37.98* CHOOSE(CONTROL!$C$23, $C$13, 100%, $E$13)</f>
        <v>37.979999999999997</v>
      </c>
      <c r="I1050" s="67">
        <f>37.9848 * CHOOSE(CONTROL!$C$23, $C$13, 100%, $E$13)</f>
        <v>37.9848</v>
      </c>
      <c r="J1050" s="67">
        <f>19.9726 * CHOOSE(CONTROL!$C$23, $C$13, 100%, $E$13)</f>
        <v>19.9726</v>
      </c>
      <c r="K1050" s="67">
        <f>19.9774 * CHOOSE(CONTROL!$C$23, $C$13, 100%, $E$13)</f>
        <v>19.977399999999999</v>
      </c>
    </row>
    <row r="1051" spans="1:11" ht="15">
      <c r="A1051" s="13">
        <v>73110</v>
      </c>
      <c r="B1051" s="66">
        <f>18.0774 * CHOOSE(CONTROL!$C$23, $C$13, 100%, $E$13)</f>
        <v>18.077400000000001</v>
      </c>
      <c r="C1051" s="66">
        <f>18.0774 * CHOOSE(CONTROL!$C$23, $C$13, 100%, $E$13)</f>
        <v>18.077400000000001</v>
      </c>
      <c r="D1051" s="66">
        <f>18.0812 * CHOOSE(CONTROL!$C$23, $C$13, 100%, $E$13)</f>
        <v>18.081199999999999</v>
      </c>
      <c r="E1051" s="67">
        <f>20.261 * CHOOSE(CONTROL!$C$23, $C$13, 100%, $E$13)</f>
        <v>20.260999999999999</v>
      </c>
      <c r="F1051" s="67">
        <f>20.261 * CHOOSE(CONTROL!$C$23, $C$13, 100%, $E$13)</f>
        <v>20.260999999999999</v>
      </c>
      <c r="G1051" s="67">
        <f>20.2658 * CHOOSE(CONTROL!$C$23, $C$13, 100%, $E$13)</f>
        <v>20.265799999999999</v>
      </c>
      <c r="H1051" s="67">
        <f>38.0591* CHOOSE(CONTROL!$C$23, $C$13, 100%, $E$13)</f>
        <v>38.059100000000001</v>
      </c>
      <c r="I1051" s="67">
        <f>38.0639 * CHOOSE(CONTROL!$C$23, $C$13, 100%, $E$13)</f>
        <v>38.063899999999997</v>
      </c>
      <c r="J1051" s="67">
        <f>20.261 * CHOOSE(CONTROL!$C$23, $C$13, 100%, $E$13)</f>
        <v>20.260999999999999</v>
      </c>
      <c r="K1051" s="67">
        <f>20.2658 * CHOOSE(CONTROL!$C$23, $C$13, 100%, $E$13)</f>
        <v>20.265799999999999</v>
      </c>
    </row>
    <row r="1052" spans="1:11" ht="15">
      <c r="A1052" s="13">
        <v>73141</v>
      </c>
      <c r="B1052" s="66">
        <f>18.0868 * CHOOSE(CONTROL!$C$23, $C$13, 100%, $E$13)</f>
        <v>18.0868</v>
      </c>
      <c r="C1052" s="66">
        <f>18.0868 * CHOOSE(CONTROL!$C$23, $C$13, 100%, $E$13)</f>
        <v>18.0868</v>
      </c>
      <c r="D1052" s="66">
        <f>18.0906 * CHOOSE(CONTROL!$C$23, $C$13, 100%, $E$13)</f>
        <v>18.090599999999998</v>
      </c>
      <c r="E1052" s="67">
        <f>20.5688 * CHOOSE(CONTROL!$C$23, $C$13, 100%, $E$13)</f>
        <v>20.5688</v>
      </c>
      <c r="F1052" s="67">
        <f>20.5688 * CHOOSE(CONTROL!$C$23, $C$13, 100%, $E$13)</f>
        <v>20.5688</v>
      </c>
      <c r="G1052" s="67">
        <f>20.5736 * CHOOSE(CONTROL!$C$23, $C$13, 100%, $E$13)</f>
        <v>20.573599999999999</v>
      </c>
      <c r="H1052" s="67">
        <f>38.1384* CHOOSE(CONTROL!$C$23, $C$13, 100%, $E$13)</f>
        <v>38.138399999999997</v>
      </c>
      <c r="I1052" s="67">
        <f>38.1432 * CHOOSE(CONTROL!$C$23, $C$13, 100%, $E$13)</f>
        <v>38.1432</v>
      </c>
      <c r="J1052" s="67">
        <f>20.5688 * CHOOSE(CONTROL!$C$23, $C$13, 100%, $E$13)</f>
        <v>20.5688</v>
      </c>
      <c r="K1052" s="67">
        <f>20.5736 * CHOOSE(CONTROL!$C$23, $C$13, 100%, $E$13)</f>
        <v>20.573599999999999</v>
      </c>
    </row>
    <row r="1053" spans="1:11" ht="15">
      <c r="A1053" s="13">
        <v>73171</v>
      </c>
      <c r="B1053" s="66">
        <f>18.0868 * CHOOSE(CONTROL!$C$23, $C$13, 100%, $E$13)</f>
        <v>18.0868</v>
      </c>
      <c r="C1053" s="66">
        <f>18.0868 * CHOOSE(CONTROL!$C$23, $C$13, 100%, $E$13)</f>
        <v>18.0868</v>
      </c>
      <c r="D1053" s="66">
        <f>18.0923 * CHOOSE(CONTROL!$C$23, $C$13, 100%, $E$13)</f>
        <v>18.092300000000002</v>
      </c>
      <c r="E1053" s="67">
        <f>20.6858 * CHOOSE(CONTROL!$C$23, $C$13, 100%, $E$13)</f>
        <v>20.6858</v>
      </c>
      <c r="F1053" s="67">
        <f>20.6858 * CHOOSE(CONTROL!$C$23, $C$13, 100%, $E$13)</f>
        <v>20.6858</v>
      </c>
      <c r="G1053" s="67">
        <f>20.6926 * CHOOSE(CONTROL!$C$23, $C$13, 100%, $E$13)</f>
        <v>20.692599999999999</v>
      </c>
      <c r="H1053" s="67">
        <f>38.2179* CHOOSE(CONTROL!$C$23, $C$13, 100%, $E$13)</f>
        <v>38.2179</v>
      </c>
      <c r="I1053" s="67">
        <f>38.2246 * CHOOSE(CONTROL!$C$23, $C$13, 100%, $E$13)</f>
        <v>38.224600000000002</v>
      </c>
      <c r="J1053" s="67">
        <f>20.6858 * CHOOSE(CONTROL!$C$23, $C$13, 100%, $E$13)</f>
        <v>20.6858</v>
      </c>
      <c r="K1053" s="67">
        <f>20.6926 * CHOOSE(CONTROL!$C$23, $C$13, 100%, $E$13)</f>
        <v>20.692599999999999</v>
      </c>
    </row>
    <row r="1054" spans="1:11" ht="15">
      <c r="A1054" s="13">
        <v>73202</v>
      </c>
      <c r="B1054" s="66">
        <f>18.0928 * CHOOSE(CONTROL!$C$23, $C$13, 100%, $E$13)</f>
        <v>18.0928</v>
      </c>
      <c r="C1054" s="66">
        <f>18.0928 * CHOOSE(CONTROL!$C$23, $C$13, 100%, $E$13)</f>
        <v>18.0928</v>
      </c>
      <c r="D1054" s="66">
        <f>18.0983 * CHOOSE(CONTROL!$C$23, $C$13, 100%, $E$13)</f>
        <v>18.098299999999998</v>
      </c>
      <c r="E1054" s="67">
        <f>20.5731 * CHOOSE(CONTROL!$C$23, $C$13, 100%, $E$13)</f>
        <v>20.5731</v>
      </c>
      <c r="F1054" s="67">
        <f>20.5731 * CHOOSE(CONTROL!$C$23, $C$13, 100%, $E$13)</f>
        <v>20.5731</v>
      </c>
      <c r="G1054" s="67">
        <f>20.5798 * CHOOSE(CONTROL!$C$23, $C$13, 100%, $E$13)</f>
        <v>20.579799999999999</v>
      </c>
      <c r="H1054" s="67">
        <f>38.2975* CHOOSE(CONTROL!$C$23, $C$13, 100%, $E$13)</f>
        <v>38.297499999999999</v>
      </c>
      <c r="I1054" s="67">
        <f>38.3042 * CHOOSE(CONTROL!$C$23, $C$13, 100%, $E$13)</f>
        <v>38.304200000000002</v>
      </c>
      <c r="J1054" s="67">
        <f>20.5731 * CHOOSE(CONTROL!$C$23, $C$13, 100%, $E$13)</f>
        <v>20.5731</v>
      </c>
      <c r="K1054" s="67">
        <f>20.5798 * CHOOSE(CONTROL!$C$23, $C$13, 100%, $E$13)</f>
        <v>20.579799999999999</v>
      </c>
    </row>
    <row r="1055" spans="1:11" ht="15">
      <c r="A1055" s="13">
        <v>73232</v>
      </c>
      <c r="B1055" s="66">
        <f>18.3645 * CHOOSE(CONTROL!$C$23, $C$13, 100%, $E$13)</f>
        <v>18.3645</v>
      </c>
      <c r="C1055" s="66">
        <f>18.3645 * CHOOSE(CONTROL!$C$23, $C$13, 100%, $E$13)</f>
        <v>18.3645</v>
      </c>
      <c r="D1055" s="66">
        <f>18.37 * CHOOSE(CONTROL!$C$23, $C$13, 100%, $E$13)</f>
        <v>18.37</v>
      </c>
      <c r="E1055" s="67">
        <f>20.897 * CHOOSE(CONTROL!$C$23, $C$13, 100%, $E$13)</f>
        <v>20.896999999999998</v>
      </c>
      <c r="F1055" s="67">
        <f>20.897 * CHOOSE(CONTROL!$C$23, $C$13, 100%, $E$13)</f>
        <v>20.896999999999998</v>
      </c>
      <c r="G1055" s="67">
        <f>20.9038 * CHOOSE(CONTROL!$C$23, $C$13, 100%, $E$13)</f>
        <v>20.9038</v>
      </c>
      <c r="H1055" s="67">
        <f>38.3773* CHOOSE(CONTROL!$C$23, $C$13, 100%, $E$13)</f>
        <v>38.377299999999998</v>
      </c>
      <c r="I1055" s="67">
        <f>38.384 * CHOOSE(CONTROL!$C$23, $C$13, 100%, $E$13)</f>
        <v>38.384</v>
      </c>
      <c r="J1055" s="67">
        <f>20.897 * CHOOSE(CONTROL!$C$23, $C$13, 100%, $E$13)</f>
        <v>20.896999999999998</v>
      </c>
      <c r="K1055" s="67">
        <f>20.9038 * CHOOSE(CONTROL!$C$23, $C$13, 100%, $E$13)</f>
        <v>20.9038</v>
      </c>
    </row>
    <row r="1056" spans="1:11" ht="15">
      <c r="A1056" s="13">
        <v>73263</v>
      </c>
      <c r="B1056" s="66">
        <f>18.3712 * CHOOSE(CONTROL!$C$23, $C$13, 100%, $E$13)</f>
        <v>18.371200000000002</v>
      </c>
      <c r="C1056" s="66">
        <f>18.3712 * CHOOSE(CONTROL!$C$23, $C$13, 100%, $E$13)</f>
        <v>18.371200000000002</v>
      </c>
      <c r="D1056" s="66">
        <f>18.3767 * CHOOSE(CONTROL!$C$23, $C$13, 100%, $E$13)</f>
        <v>18.3767</v>
      </c>
      <c r="E1056" s="67">
        <f>20.5507 * CHOOSE(CONTROL!$C$23, $C$13, 100%, $E$13)</f>
        <v>20.550699999999999</v>
      </c>
      <c r="F1056" s="67">
        <f>20.5507 * CHOOSE(CONTROL!$C$23, $C$13, 100%, $E$13)</f>
        <v>20.550699999999999</v>
      </c>
      <c r="G1056" s="67">
        <f>20.5574 * CHOOSE(CONTROL!$C$23, $C$13, 100%, $E$13)</f>
        <v>20.557400000000001</v>
      </c>
      <c r="H1056" s="67">
        <f>38.4572* CHOOSE(CONTROL!$C$23, $C$13, 100%, $E$13)</f>
        <v>38.4572</v>
      </c>
      <c r="I1056" s="67">
        <f>38.464 * CHOOSE(CONTROL!$C$23, $C$13, 100%, $E$13)</f>
        <v>38.463999999999999</v>
      </c>
      <c r="J1056" s="67">
        <f>20.5507 * CHOOSE(CONTROL!$C$23, $C$13, 100%, $E$13)</f>
        <v>20.550699999999999</v>
      </c>
      <c r="K1056" s="67">
        <f>20.5574 * CHOOSE(CONTROL!$C$23, $C$13, 100%, $E$13)</f>
        <v>20.557400000000001</v>
      </c>
    </row>
    <row r="1057" spans="1:11" ht="15">
      <c r="A1057" s="13">
        <v>73294</v>
      </c>
      <c r="B1057" s="66">
        <f>18.3681 * CHOOSE(CONTROL!$C$23, $C$13, 100%, $E$13)</f>
        <v>18.368099999999998</v>
      </c>
      <c r="C1057" s="66">
        <f>18.3681 * CHOOSE(CONTROL!$C$23, $C$13, 100%, $E$13)</f>
        <v>18.368099999999998</v>
      </c>
      <c r="D1057" s="66">
        <f>18.3736 * CHOOSE(CONTROL!$C$23, $C$13, 100%, $E$13)</f>
        <v>18.3736</v>
      </c>
      <c r="E1057" s="67">
        <f>20.5095 * CHOOSE(CONTROL!$C$23, $C$13, 100%, $E$13)</f>
        <v>20.509499999999999</v>
      </c>
      <c r="F1057" s="67">
        <f>20.5095 * CHOOSE(CONTROL!$C$23, $C$13, 100%, $E$13)</f>
        <v>20.509499999999999</v>
      </c>
      <c r="G1057" s="67">
        <f>20.5163 * CHOOSE(CONTROL!$C$23, $C$13, 100%, $E$13)</f>
        <v>20.516300000000001</v>
      </c>
      <c r="H1057" s="67">
        <f>38.5373* CHOOSE(CONTROL!$C$23, $C$13, 100%, $E$13)</f>
        <v>38.537300000000002</v>
      </c>
      <c r="I1057" s="67">
        <f>38.5441 * CHOOSE(CONTROL!$C$23, $C$13, 100%, $E$13)</f>
        <v>38.5441</v>
      </c>
      <c r="J1057" s="67">
        <f>20.5095 * CHOOSE(CONTROL!$C$23, $C$13, 100%, $E$13)</f>
        <v>20.509499999999999</v>
      </c>
      <c r="K1057" s="67">
        <f>20.5163 * CHOOSE(CONTROL!$C$23, $C$13, 100%, $E$13)</f>
        <v>20.516300000000001</v>
      </c>
    </row>
    <row r="1058" spans="1:11" ht="15">
      <c r="A1058" s="13">
        <v>73324</v>
      </c>
      <c r="B1058" s="66">
        <f>18.4093 * CHOOSE(CONTROL!$C$23, $C$13, 100%, $E$13)</f>
        <v>18.409300000000002</v>
      </c>
      <c r="C1058" s="66">
        <f>18.4093 * CHOOSE(CONTROL!$C$23, $C$13, 100%, $E$13)</f>
        <v>18.409300000000002</v>
      </c>
      <c r="D1058" s="66">
        <f>18.4131 * CHOOSE(CONTROL!$C$23, $C$13, 100%, $E$13)</f>
        <v>18.4131</v>
      </c>
      <c r="E1058" s="67">
        <f>20.6521 * CHOOSE(CONTROL!$C$23, $C$13, 100%, $E$13)</f>
        <v>20.652100000000001</v>
      </c>
      <c r="F1058" s="67">
        <f>20.6521 * CHOOSE(CONTROL!$C$23, $C$13, 100%, $E$13)</f>
        <v>20.652100000000001</v>
      </c>
      <c r="G1058" s="67">
        <f>20.6569 * CHOOSE(CONTROL!$C$23, $C$13, 100%, $E$13)</f>
        <v>20.6569</v>
      </c>
      <c r="H1058" s="67">
        <f>38.6176* CHOOSE(CONTROL!$C$23, $C$13, 100%, $E$13)</f>
        <v>38.617600000000003</v>
      </c>
      <c r="I1058" s="67">
        <f>38.6224 * CHOOSE(CONTROL!$C$23, $C$13, 100%, $E$13)</f>
        <v>38.622399999999999</v>
      </c>
      <c r="J1058" s="67">
        <f>20.6521 * CHOOSE(CONTROL!$C$23, $C$13, 100%, $E$13)</f>
        <v>20.652100000000001</v>
      </c>
      <c r="K1058" s="67">
        <f>20.6569 * CHOOSE(CONTROL!$C$23, $C$13, 100%, $E$13)</f>
        <v>20.6569</v>
      </c>
    </row>
    <row r="1059" spans="1:11" ht="15">
      <c r="A1059" s="13">
        <v>73355</v>
      </c>
      <c r="B1059" s="66">
        <f>18.4123 * CHOOSE(CONTROL!$C$23, $C$13, 100%, $E$13)</f>
        <v>18.412299999999998</v>
      </c>
      <c r="C1059" s="66">
        <f>18.4123 * CHOOSE(CONTROL!$C$23, $C$13, 100%, $E$13)</f>
        <v>18.412299999999998</v>
      </c>
      <c r="D1059" s="66">
        <f>18.4162 * CHOOSE(CONTROL!$C$23, $C$13, 100%, $E$13)</f>
        <v>18.4162</v>
      </c>
      <c r="E1059" s="67">
        <f>20.7323 * CHOOSE(CONTROL!$C$23, $C$13, 100%, $E$13)</f>
        <v>20.732299999999999</v>
      </c>
      <c r="F1059" s="67">
        <f>20.7323 * CHOOSE(CONTROL!$C$23, $C$13, 100%, $E$13)</f>
        <v>20.732299999999999</v>
      </c>
      <c r="G1059" s="67">
        <f>20.737 * CHOOSE(CONTROL!$C$23, $C$13, 100%, $E$13)</f>
        <v>20.736999999999998</v>
      </c>
      <c r="H1059" s="67">
        <f>38.6981* CHOOSE(CONTROL!$C$23, $C$13, 100%, $E$13)</f>
        <v>38.698099999999997</v>
      </c>
      <c r="I1059" s="67">
        <f>38.7029 * CHOOSE(CONTROL!$C$23, $C$13, 100%, $E$13)</f>
        <v>38.7029</v>
      </c>
      <c r="J1059" s="67">
        <f>20.7323 * CHOOSE(CONTROL!$C$23, $C$13, 100%, $E$13)</f>
        <v>20.732299999999999</v>
      </c>
      <c r="K1059" s="67">
        <f>20.737 * CHOOSE(CONTROL!$C$23, $C$13, 100%, $E$13)</f>
        <v>20.736999999999998</v>
      </c>
    </row>
    <row r="1060" spans="1:11" ht="15">
      <c r="A1060" s="13">
        <v>73385</v>
      </c>
      <c r="B1060" s="66">
        <f>18.4123 * CHOOSE(CONTROL!$C$23, $C$13, 100%, $E$13)</f>
        <v>18.412299999999998</v>
      </c>
      <c r="C1060" s="66">
        <f>18.4123 * CHOOSE(CONTROL!$C$23, $C$13, 100%, $E$13)</f>
        <v>18.412299999999998</v>
      </c>
      <c r="D1060" s="66">
        <f>18.4162 * CHOOSE(CONTROL!$C$23, $C$13, 100%, $E$13)</f>
        <v>18.4162</v>
      </c>
      <c r="E1060" s="67">
        <f>20.5373 * CHOOSE(CONTROL!$C$23, $C$13, 100%, $E$13)</f>
        <v>20.537299999999998</v>
      </c>
      <c r="F1060" s="67">
        <f>20.5373 * CHOOSE(CONTROL!$C$23, $C$13, 100%, $E$13)</f>
        <v>20.537299999999998</v>
      </c>
      <c r="G1060" s="67">
        <f>20.542 * CHOOSE(CONTROL!$C$23, $C$13, 100%, $E$13)</f>
        <v>20.542000000000002</v>
      </c>
      <c r="H1060" s="67">
        <f>38.7787* CHOOSE(CONTROL!$C$23, $C$13, 100%, $E$13)</f>
        <v>38.778700000000001</v>
      </c>
      <c r="I1060" s="67">
        <f>38.7835 * CHOOSE(CONTROL!$C$23, $C$13, 100%, $E$13)</f>
        <v>38.783499999999997</v>
      </c>
      <c r="J1060" s="67">
        <f>20.5373 * CHOOSE(CONTROL!$C$23, $C$13, 100%, $E$13)</f>
        <v>20.537299999999998</v>
      </c>
      <c r="K1060" s="67">
        <f>20.542 * CHOOSE(CONTROL!$C$23, $C$13, 100%, $E$13)</f>
        <v>20.542000000000002</v>
      </c>
    </row>
    <row r="1061" spans="1:11" ht="15">
      <c r="A1061" s="10"/>
      <c r="B1061" s="66"/>
      <c r="C1061" s="66"/>
      <c r="D1061" s="66"/>
      <c r="E1061" s="67"/>
      <c r="F1061" s="67"/>
      <c r="G1061" s="67"/>
      <c r="H1061" s="67"/>
      <c r="I1061" s="67"/>
      <c r="J1061" s="67"/>
      <c r="K1061" s="67"/>
    </row>
    <row r="1062" spans="1:11" ht="15">
      <c r="A1062" s="3">
        <v>2014</v>
      </c>
      <c r="B1062" s="66">
        <f t="shared" ref="B1062:K1062" si="0">AVERAGE(B17:B28)</f>
        <v>2.4184833333333331</v>
      </c>
      <c r="C1062" s="66">
        <f t="shared" si="0"/>
        <v>2.4063500000000002</v>
      </c>
      <c r="D1062" s="66">
        <f t="shared" si="0"/>
        <v>2.4109000000000003</v>
      </c>
      <c r="E1062" s="66">
        <f t="shared" si="0"/>
        <v>3.2984333333333336</v>
      </c>
      <c r="F1062" s="66">
        <f t="shared" si="0"/>
        <v>3.4486666666666661</v>
      </c>
      <c r="G1062" s="66">
        <f t="shared" si="0"/>
        <v>3.4611000000000001</v>
      </c>
      <c r="H1062" s="66">
        <f t="shared" si="0"/>
        <v>5.9680833333333352</v>
      </c>
      <c r="I1062" s="66">
        <f t="shared" si="0"/>
        <v>5.9804833333333347</v>
      </c>
      <c r="J1062" s="66">
        <f t="shared" si="0"/>
        <v>3.2984333333333336</v>
      </c>
      <c r="K1062" s="66">
        <f t="shared" si="0"/>
        <v>3.3108416666666667</v>
      </c>
    </row>
    <row r="1063" spans="1:11" ht="15">
      <c r="A1063" s="3">
        <v>2015</v>
      </c>
      <c r="B1063" s="66">
        <f t="shared" ref="B1063:K1063" si="1">AVERAGE(B29:B40)</f>
        <v>2.5009166666666673</v>
      </c>
      <c r="C1063" s="66">
        <f t="shared" si="1"/>
        <v>2.5282416666666667</v>
      </c>
      <c r="D1063" s="66">
        <f t="shared" si="1"/>
        <v>2.5327999999999999</v>
      </c>
      <c r="E1063" s="66">
        <f t="shared" si="1"/>
        <v>3.2090166666666664</v>
      </c>
      <c r="F1063" s="66">
        <f t="shared" si="1"/>
        <v>3.254</v>
      </c>
      <c r="G1063" s="66">
        <f t="shared" si="1"/>
        <v>3.2595916666666667</v>
      </c>
      <c r="H1063" s="66">
        <f t="shared" si="1"/>
        <v>6.1190083333333334</v>
      </c>
      <c r="I1063" s="66">
        <f t="shared" si="1"/>
        <v>6.1246000000000009</v>
      </c>
      <c r="J1063" s="66">
        <f t="shared" si="1"/>
        <v>3.2090166666666664</v>
      </c>
      <c r="K1063" s="66">
        <f t="shared" si="1"/>
        <v>3.2146000000000003</v>
      </c>
    </row>
    <row r="1064" spans="1:11" ht="15">
      <c r="A1064" s="3">
        <v>2016</v>
      </c>
      <c r="B1064" s="66">
        <f t="shared" ref="B1064:K1064" si="2">AVERAGE(B41:B52)</f>
        <v>2.8711249999999997</v>
      </c>
      <c r="C1064" s="66">
        <f t="shared" si="2"/>
        <v>2.8711249999999997</v>
      </c>
      <c r="D1064" s="66">
        <f t="shared" si="2"/>
        <v>2.8756833333333334</v>
      </c>
      <c r="E1064" s="66">
        <f t="shared" si="2"/>
        <v>3.3873333333333338</v>
      </c>
      <c r="F1064" s="66">
        <f t="shared" si="2"/>
        <v>3.4460000000000002</v>
      </c>
      <c r="G1064" s="66">
        <f t="shared" si="2"/>
        <v>3.4515916666666668</v>
      </c>
      <c r="H1064" s="66">
        <f t="shared" si="2"/>
        <v>6.2737333333333325</v>
      </c>
      <c r="I1064" s="66">
        <f t="shared" si="2"/>
        <v>6.279325</v>
      </c>
      <c r="J1064" s="66">
        <f t="shared" si="2"/>
        <v>3.3873333333333338</v>
      </c>
      <c r="K1064" s="66">
        <f t="shared" si="2"/>
        <v>3.392925</v>
      </c>
    </row>
    <row r="1065" spans="1:11" ht="15">
      <c r="A1065" s="3">
        <v>2017</v>
      </c>
      <c r="B1065" s="66">
        <f t="shared" ref="B1065:K1065" si="3">AVERAGE(B53:B64)</f>
        <v>3.0028000000000001</v>
      </c>
      <c r="C1065" s="66">
        <f t="shared" si="3"/>
        <v>3.0028000000000001</v>
      </c>
      <c r="D1065" s="66">
        <f t="shared" si="3"/>
        <v>3.0073666666666665</v>
      </c>
      <c r="E1065" s="66">
        <f t="shared" si="3"/>
        <v>3.5879916666666669</v>
      </c>
      <c r="F1065" s="66">
        <f t="shared" si="3"/>
        <v>3.5879916666666669</v>
      </c>
      <c r="G1065" s="66">
        <f t="shared" si="3"/>
        <v>3.5935833333333331</v>
      </c>
      <c r="H1065" s="66">
        <f t="shared" si="3"/>
        <v>6.4323833333333331</v>
      </c>
      <c r="I1065" s="66">
        <f t="shared" si="3"/>
        <v>6.4379749999999989</v>
      </c>
      <c r="J1065" s="66">
        <f t="shared" si="3"/>
        <v>3.5879916666666669</v>
      </c>
      <c r="K1065" s="66">
        <f t="shared" si="3"/>
        <v>3.5935833333333331</v>
      </c>
    </row>
    <row r="1066" spans="1:11" ht="15">
      <c r="A1066" s="3">
        <v>2018</v>
      </c>
      <c r="B1066" s="66">
        <f t="shared" ref="B1066:K1066" si="4">AVERAGE(B65:B76)</f>
        <v>3.1109000000000004</v>
      </c>
      <c r="C1066" s="66">
        <f t="shared" si="4"/>
        <v>3.1109000000000004</v>
      </c>
      <c r="D1066" s="66">
        <f t="shared" si="4"/>
        <v>3.1154500000000005</v>
      </c>
      <c r="E1066" s="66">
        <f t="shared" si="4"/>
        <v>3.7429000000000006</v>
      </c>
      <c r="F1066" s="66">
        <f t="shared" si="4"/>
        <v>3.7429000000000006</v>
      </c>
      <c r="G1066" s="66">
        <f t="shared" si="4"/>
        <v>3.7484916666666668</v>
      </c>
      <c r="H1066" s="66">
        <f t="shared" si="4"/>
        <v>6.5950499999999996</v>
      </c>
      <c r="I1066" s="66">
        <f t="shared" si="4"/>
        <v>6.600649999999999</v>
      </c>
      <c r="J1066" s="66">
        <f t="shared" si="4"/>
        <v>3.7429000000000006</v>
      </c>
      <c r="K1066" s="66">
        <f t="shared" si="4"/>
        <v>3.7484916666666668</v>
      </c>
    </row>
    <row r="1067" spans="1:11" ht="15">
      <c r="A1067" s="3">
        <v>2019</v>
      </c>
      <c r="B1067" s="66">
        <f t="shared" ref="B1067:K1067" si="5">AVERAGE(B77:B88)</f>
        <v>3.1375166666666665</v>
      </c>
      <c r="C1067" s="66">
        <f t="shared" si="5"/>
        <v>3.1375166666666665</v>
      </c>
      <c r="D1067" s="66">
        <f t="shared" si="5"/>
        <v>3.1420666666666666</v>
      </c>
      <c r="E1067" s="66">
        <f t="shared" si="5"/>
        <v>3.8573833333333334</v>
      </c>
      <c r="F1067" s="66">
        <f t="shared" si="5"/>
        <v>3.8573833333333334</v>
      </c>
      <c r="G1067" s="66">
        <f t="shared" si="5"/>
        <v>3.862975</v>
      </c>
      <c r="H1067" s="66">
        <f t="shared" si="5"/>
        <v>6.7618333333333345</v>
      </c>
      <c r="I1067" s="66">
        <f t="shared" si="5"/>
        <v>6.7674333333333339</v>
      </c>
      <c r="J1067" s="66">
        <f t="shared" si="5"/>
        <v>3.8573833333333334</v>
      </c>
      <c r="K1067" s="66">
        <f t="shared" si="5"/>
        <v>3.862975</v>
      </c>
    </row>
    <row r="1068" spans="1:11" ht="15">
      <c r="A1068" s="3">
        <v>2020</v>
      </c>
      <c r="B1068" s="66">
        <f t="shared" ref="B1068:K1068" si="6">AVERAGE(B89:B100)</f>
        <v>3.1985999999999994</v>
      </c>
      <c r="C1068" s="66">
        <f t="shared" si="6"/>
        <v>3.1985999999999994</v>
      </c>
      <c r="D1068" s="66">
        <f t="shared" si="6"/>
        <v>3.2031416666666668</v>
      </c>
      <c r="E1068" s="66">
        <f t="shared" si="6"/>
        <v>3.7282833333333336</v>
      </c>
      <c r="F1068" s="66">
        <f t="shared" si="6"/>
        <v>3.7282833333333336</v>
      </c>
      <c r="G1068" s="66">
        <f t="shared" si="6"/>
        <v>3.7338749999999998</v>
      </c>
      <c r="H1068" s="66">
        <f t="shared" si="6"/>
        <v>6.9328250000000002</v>
      </c>
      <c r="I1068" s="66">
        <f t="shared" si="6"/>
        <v>6.9384250000000014</v>
      </c>
      <c r="J1068" s="66">
        <f t="shared" si="6"/>
        <v>3.7282833333333336</v>
      </c>
      <c r="K1068" s="66">
        <f t="shared" si="6"/>
        <v>3.7338749999999998</v>
      </c>
    </row>
    <row r="1069" spans="1:11" ht="15">
      <c r="A1069" s="3">
        <v>2021</v>
      </c>
      <c r="B1069" s="66">
        <f t="shared" ref="B1069:K1069" si="7">AVERAGE(B101:B112)</f>
        <v>3.2682833333333332</v>
      </c>
      <c r="C1069" s="66">
        <f t="shared" si="7"/>
        <v>3.2682833333333332</v>
      </c>
      <c r="D1069" s="66">
        <f t="shared" si="7"/>
        <v>3.2728333333333328</v>
      </c>
      <c r="E1069" s="66">
        <f t="shared" si="7"/>
        <v>3.7707666666666668</v>
      </c>
      <c r="F1069" s="66">
        <f t="shared" si="7"/>
        <v>3.7707666666666668</v>
      </c>
      <c r="G1069" s="66">
        <f t="shared" si="7"/>
        <v>3.7763500000000003</v>
      </c>
      <c r="H1069" s="66">
        <f t="shared" si="7"/>
        <v>7.1081583333333329</v>
      </c>
      <c r="I1069" s="66">
        <f t="shared" si="7"/>
        <v>7.1137499999999996</v>
      </c>
      <c r="J1069" s="66">
        <f t="shared" si="7"/>
        <v>3.7707666666666668</v>
      </c>
      <c r="K1069" s="66">
        <f t="shared" si="7"/>
        <v>3.7763500000000003</v>
      </c>
    </row>
    <row r="1070" spans="1:11" ht="15">
      <c r="A1070" s="3">
        <v>2022</v>
      </c>
      <c r="B1070" s="66">
        <f t="shared" ref="B1070:K1070" si="8">AVERAGE(B113:B124)</f>
        <v>3.3391416666666669</v>
      </c>
      <c r="C1070" s="66">
        <f t="shared" si="8"/>
        <v>3.3391416666666669</v>
      </c>
      <c r="D1070" s="66">
        <f t="shared" si="8"/>
        <v>3.343691666666667</v>
      </c>
      <c r="E1070" s="66">
        <f t="shared" si="8"/>
        <v>3.944116666666666</v>
      </c>
      <c r="F1070" s="66">
        <f t="shared" si="8"/>
        <v>3.944116666666666</v>
      </c>
      <c r="G1070" s="66">
        <f t="shared" si="8"/>
        <v>3.9497416666666667</v>
      </c>
      <c r="H1070" s="66">
        <f t="shared" si="8"/>
        <v>7.2878999999999996</v>
      </c>
      <c r="I1070" s="66">
        <f t="shared" si="8"/>
        <v>7.2935000000000008</v>
      </c>
      <c r="J1070" s="66">
        <f t="shared" si="8"/>
        <v>3.944116666666666</v>
      </c>
      <c r="K1070" s="66">
        <f t="shared" si="8"/>
        <v>3.9497416666666667</v>
      </c>
    </row>
    <row r="1071" spans="1:11" ht="15">
      <c r="A1071" s="3">
        <v>2023</v>
      </c>
      <c r="B1071" s="66">
        <f t="shared" ref="B1071:K1071" si="9">AVERAGE(B125:B136)</f>
        <v>3.4119833333333336</v>
      </c>
      <c r="C1071" s="66">
        <f t="shared" si="9"/>
        <v>3.4119833333333336</v>
      </c>
      <c r="D1071" s="66">
        <f t="shared" si="9"/>
        <v>3.4165333333333336</v>
      </c>
      <c r="E1071" s="66">
        <f t="shared" si="9"/>
        <v>4.0709833333333334</v>
      </c>
      <c r="F1071" s="66">
        <f t="shared" si="9"/>
        <v>4.0709833333333334</v>
      </c>
      <c r="G1071" s="66">
        <f t="shared" si="9"/>
        <v>4.0765749999999992</v>
      </c>
      <c r="H1071" s="66">
        <f t="shared" si="9"/>
        <v>7.4721999999999982</v>
      </c>
      <c r="I1071" s="66">
        <f t="shared" si="9"/>
        <v>7.4777916666666657</v>
      </c>
      <c r="J1071" s="66">
        <f t="shared" si="9"/>
        <v>4.0709833333333334</v>
      </c>
      <c r="K1071" s="66">
        <f t="shared" si="9"/>
        <v>4.0765749999999992</v>
      </c>
    </row>
    <row r="1072" spans="1:11" ht="15">
      <c r="A1072" s="3">
        <v>2024</v>
      </c>
      <c r="B1072" s="66">
        <f t="shared" ref="B1072:K1072" si="10">AVERAGE(B137:B148)</f>
        <v>3.4898833333333328</v>
      </c>
      <c r="C1072" s="66">
        <f t="shared" si="10"/>
        <v>3.4898833333333328</v>
      </c>
      <c r="D1072" s="66">
        <f t="shared" si="10"/>
        <v>3.4944416666666664</v>
      </c>
      <c r="E1072" s="66">
        <f t="shared" si="10"/>
        <v>4.1558083333333329</v>
      </c>
      <c r="F1072" s="66">
        <f t="shared" si="10"/>
        <v>4.1558083333333329</v>
      </c>
      <c r="G1072" s="66">
        <f t="shared" si="10"/>
        <v>4.1613750000000005</v>
      </c>
      <c r="H1072" s="66">
        <f t="shared" si="10"/>
        <v>7.6611750000000001</v>
      </c>
      <c r="I1072" s="66">
        <f t="shared" si="10"/>
        <v>7.6667416666666659</v>
      </c>
      <c r="J1072" s="66">
        <f t="shared" si="10"/>
        <v>4.1558083333333329</v>
      </c>
      <c r="K1072" s="66">
        <f t="shared" si="10"/>
        <v>4.1613750000000005</v>
      </c>
    </row>
    <row r="1073" spans="1:11" ht="15">
      <c r="A1073" s="3">
        <v>2025</v>
      </c>
      <c r="B1073" s="66">
        <f t="shared" ref="B1073:K1073" si="11">AVERAGE(B149:B160)</f>
        <v>3.5713666666666675</v>
      </c>
      <c r="C1073" s="66">
        <f t="shared" si="11"/>
        <v>3.5713666666666675</v>
      </c>
      <c r="D1073" s="66">
        <f t="shared" si="11"/>
        <v>3.5759166666666666</v>
      </c>
      <c r="E1073" s="66">
        <f t="shared" si="11"/>
        <v>4.2415750000000001</v>
      </c>
      <c r="F1073" s="66">
        <f t="shared" si="11"/>
        <v>4.2415750000000001</v>
      </c>
      <c r="G1073" s="66">
        <f t="shared" si="11"/>
        <v>4.2471666666666668</v>
      </c>
      <c r="H1073" s="66">
        <f t="shared" si="11"/>
        <v>7.8548999999999998</v>
      </c>
      <c r="I1073" s="66">
        <f t="shared" si="11"/>
        <v>7.8605083333333345</v>
      </c>
      <c r="J1073" s="66">
        <f t="shared" si="11"/>
        <v>4.2415750000000001</v>
      </c>
      <c r="K1073" s="66">
        <f t="shared" si="11"/>
        <v>4.2471666666666668</v>
      </c>
    </row>
    <row r="1074" spans="1:11" ht="15">
      <c r="A1074" s="3">
        <v>2026</v>
      </c>
      <c r="B1074" s="66">
        <f t="shared" ref="B1074:K1074" si="12">AVERAGE(B161:B172)</f>
        <v>3.6529916666666669</v>
      </c>
      <c r="C1074" s="66">
        <f t="shared" si="12"/>
        <v>3.6529916666666669</v>
      </c>
      <c r="D1074" s="66">
        <f t="shared" si="12"/>
        <v>3.6575500000000001</v>
      </c>
      <c r="E1074" s="66">
        <f t="shared" si="12"/>
        <v>4.3426083333333336</v>
      </c>
      <c r="F1074" s="66">
        <f t="shared" si="12"/>
        <v>4.3426083333333336</v>
      </c>
      <c r="G1074" s="66">
        <f t="shared" si="12"/>
        <v>4.3481916666666667</v>
      </c>
      <c r="H1074" s="66">
        <f t="shared" si="12"/>
        <v>8.0535333333333323</v>
      </c>
      <c r="I1074" s="66">
        <f t="shared" si="12"/>
        <v>8.0591500000000007</v>
      </c>
      <c r="J1074" s="66">
        <f t="shared" si="12"/>
        <v>4.3426083333333336</v>
      </c>
      <c r="K1074" s="66">
        <f t="shared" si="12"/>
        <v>4.3481916666666667</v>
      </c>
    </row>
    <row r="1075" spans="1:11" ht="15">
      <c r="A1075" s="3">
        <v>2027</v>
      </c>
      <c r="B1075" s="66">
        <f t="shared" ref="B1075:K1075" si="13">AVERAGE(B173:B184)</f>
        <v>3.7325916666666674</v>
      </c>
      <c r="C1075" s="66">
        <f t="shared" si="13"/>
        <v>3.7325916666666674</v>
      </c>
      <c r="D1075" s="66">
        <f t="shared" si="13"/>
        <v>3.7371333333333339</v>
      </c>
      <c r="E1075" s="66">
        <f t="shared" si="13"/>
        <v>4.4449999999999994</v>
      </c>
      <c r="F1075" s="66">
        <f t="shared" si="13"/>
        <v>4.4449999999999994</v>
      </c>
      <c r="G1075" s="66">
        <f t="shared" si="13"/>
        <v>4.4505916666666669</v>
      </c>
      <c r="H1075" s="66">
        <f t="shared" si="13"/>
        <v>8.2572166666666664</v>
      </c>
      <c r="I1075" s="66">
        <f t="shared" si="13"/>
        <v>8.2627916666666668</v>
      </c>
      <c r="J1075" s="66">
        <f t="shared" si="13"/>
        <v>4.4449999999999994</v>
      </c>
      <c r="K1075" s="66">
        <f t="shared" si="13"/>
        <v>4.4505916666666669</v>
      </c>
    </row>
    <row r="1076" spans="1:11" ht="15">
      <c r="A1076" s="3">
        <v>2028</v>
      </c>
      <c r="B1076" s="66">
        <f t="shared" ref="B1076:K1076" si="14">AVERAGE(B185:B196)</f>
        <v>3.8206500000000001</v>
      </c>
      <c r="C1076" s="66">
        <f t="shared" si="14"/>
        <v>3.8206500000000001</v>
      </c>
      <c r="D1076" s="66">
        <f t="shared" si="14"/>
        <v>3.8252083333333338</v>
      </c>
      <c r="E1076" s="66">
        <f t="shared" si="14"/>
        <v>4.5496749999999997</v>
      </c>
      <c r="F1076" s="66">
        <f t="shared" si="14"/>
        <v>4.5496749999999997</v>
      </c>
      <c r="G1076" s="66">
        <f t="shared" si="14"/>
        <v>4.5552583333333336</v>
      </c>
      <c r="H1076" s="66">
        <f t="shared" si="14"/>
        <v>8.4660416666666674</v>
      </c>
      <c r="I1076" s="66">
        <f t="shared" si="14"/>
        <v>8.4716083333333341</v>
      </c>
      <c r="J1076" s="66">
        <f t="shared" si="14"/>
        <v>4.5496749999999997</v>
      </c>
      <c r="K1076" s="66">
        <f t="shared" si="14"/>
        <v>4.5552583333333336</v>
      </c>
    </row>
    <row r="1077" spans="1:11" ht="15">
      <c r="A1077" s="3">
        <v>2029</v>
      </c>
      <c r="B1077" s="66">
        <f t="shared" ref="B1077:K1077" si="15">AVERAGE(B197:B208)</f>
        <v>3.9070166666666659</v>
      </c>
      <c r="C1077" s="66">
        <f t="shared" si="15"/>
        <v>3.9070166666666659</v>
      </c>
      <c r="D1077" s="66">
        <f t="shared" si="15"/>
        <v>3.9115749999999996</v>
      </c>
      <c r="E1077" s="66">
        <f t="shared" si="15"/>
        <v>4.6572416666666667</v>
      </c>
      <c r="F1077" s="66">
        <f t="shared" si="15"/>
        <v>4.6572416666666667</v>
      </c>
      <c r="G1077" s="66">
        <f t="shared" si="15"/>
        <v>4.6628250000000007</v>
      </c>
      <c r="H1077" s="66">
        <f t="shared" si="15"/>
        <v>8.6801083333333331</v>
      </c>
      <c r="I1077" s="66">
        <f t="shared" si="15"/>
        <v>8.6857083333333325</v>
      </c>
      <c r="J1077" s="66">
        <f t="shared" si="15"/>
        <v>4.6572416666666667</v>
      </c>
      <c r="K1077" s="66">
        <f t="shared" si="15"/>
        <v>4.6628250000000007</v>
      </c>
    </row>
    <row r="1078" spans="1:11" ht="15">
      <c r="A1078" s="3">
        <v>2030</v>
      </c>
      <c r="B1078" s="66">
        <f t="shared" ref="B1078:K1078" si="16">AVERAGE(B209:B220)</f>
        <v>3.998324999999999</v>
      </c>
      <c r="C1078" s="66">
        <f t="shared" si="16"/>
        <v>3.998324999999999</v>
      </c>
      <c r="D1078" s="66">
        <f t="shared" si="16"/>
        <v>4.0028833333333331</v>
      </c>
      <c r="E1078" s="66">
        <f t="shared" si="16"/>
        <v>4.7692916666666667</v>
      </c>
      <c r="F1078" s="66">
        <f t="shared" si="16"/>
        <v>4.7692916666666667</v>
      </c>
      <c r="G1078" s="66">
        <f t="shared" si="16"/>
        <v>4.7748916666666679</v>
      </c>
      <c r="H1078" s="66">
        <f t="shared" si="16"/>
        <v>8.8996166666666667</v>
      </c>
      <c r="I1078" s="66">
        <f t="shared" si="16"/>
        <v>8.9052249999999997</v>
      </c>
      <c r="J1078" s="66">
        <f t="shared" si="16"/>
        <v>4.7692916666666667</v>
      </c>
      <c r="K1078" s="66">
        <f t="shared" si="16"/>
        <v>4.7748916666666679</v>
      </c>
    </row>
    <row r="1079" spans="1:11" ht="15">
      <c r="A1079" s="3">
        <v>2031</v>
      </c>
      <c r="B1079" s="66">
        <f t="shared" ref="B1079:K1079" si="17">AVERAGE(B221:B232)</f>
        <v>4.0933833333333327</v>
      </c>
      <c r="C1079" s="66">
        <f t="shared" si="17"/>
        <v>4.0933833333333327</v>
      </c>
      <c r="D1079" s="66">
        <f t="shared" si="17"/>
        <v>4.0979166666666664</v>
      </c>
      <c r="E1079" s="66">
        <f t="shared" si="17"/>
        <v>4.915375</v>
      </c>
      <c r="F1079" s="66">
        <f t="shared" si="17"/>
        <v>4.915375</v>
      </c>
      <c r="G1079" s="66">
        <f t="shared" si="17"/>
        <v>4.9209749999999994</v>
      </c>
      <c r="H1079" s="66">
        <f t="shared" si="17"/>
        <v>9.1246750000000016</v>
      </c>
      <c r="I1079" s="66">
        <f t="shared" si="17"/>
        <v>9.1302833333333346</v>
      </c>
      <c r="J1079" s="66">
        <f t="shared" si="17"/>
        <v>4.915375</v>
      </c>
      <c r="K1079" s="66">
        <f t="shared" si="17"/>
        <v>4.9209749999999994</v>
      </c>
    </row>
    <row r="1080" spans="1:11" ht="15">
      <c r="A1080" s="3">
        <v>2032</v>
      </c>
      <c r="B1080" s="66">
        <f t="shared" ref="B1080:K1080" si="18">AVERAGE(B233:B244)</f>
        <v>4.1982249999999999</v>
      </c>
      <c r="C1080" s="66">
        <f t="shared" si="18"/>
        <v>4.1982249999999999</v>
      </c>
      <c r="D1080" s="66">
        <f t="shared" si="18"/>
        <v>4.2027666666666654</v>
      </c>
      <c r="E1080" s="66">
        <f t="shared" si="18"/>
        <v>5.0666166666666665</v>
      </c>
      <c r="F1080" s="66">
        <f t="shared" si="18"/>
        <v>5.0666166666666665</v>
      </c>
      <c r="G1080" s="66">
        <f t="shared" si="18"/>
        <v>5.0722083333333332</v>
      </c>
      <c r="H1080" s="66">
        <f t="shared" si="18"/>
        <v>9.3554250000000021</v>
      </c>
      <c r="I1080" s="66">
        <f t="shared" si="18"/>
        <v>9.3610250000000033</v>
      </c>
      <c r="J1080" s="66">
        <f t="shared" si="18"/>
        <v>5.0666166666666665</v>
      </c>
      <c r="K1080" s="66">
        <f t="shared" si="18"/>
        <v>5.0722083333333332</v>
      </c>
    </row>
    <row r="1081" spans="1:11" ht="15">
      <c r="A1081" s="3">
        <v>2033</v>
      </c>
      <c r="B1081" s="66">
        <f t="shared" ref="B1081:K1081" si="19">AVERAGE(B245:B256)</f>
        <v>4.3121749999999999</v>
      </c>
      <c r="C1081" s="66">
        <f t="shared" si="19"/>
        <v>4.3121749999999999</v>
      </c>
      <c r="D1081" s="66">
        <f t="shared" si="19"/>
        <v>4.3167333333333344</v>
      </c>
      <c r="E1081" s="66">
        <f t="shared" si="19"/>
        <v>5.2221833333333327</v>
      </c>
      <c r="F1081" s="66">
        <f t="shared" si="19"/>
        <v>5.2221833333333327</v>
      </c>
      <c r="G1081" s="66">
        <f t="shared" si="19"/>
        <v>5.2277833333333339</v>
      </c>
      <c r="H1081" s="66">
        <f t="shared" si="19"/>
        <v>9.5920166666666677</v>
      </c>
      <c r="I1081" s="66">
        <f t="shared" si="19"/>
        <v>9.5976083333333335</v>
      </c>
      <c r="J1081" s="66">
        <f t="shared" si="19"/>
        <v>5.2221833333333327</v>
      </c>
      <c r="K1081" s="66">
        <f t="shared" si="19"/>
        <v>5.2277833333333339</v>
      </c>
    </row>
    <row r="1082" spans="1:11" ht="15">
      <c r="A1082" s="3">
        <v>2034</v>
      </c>
      <c r="B1082" s="66">
        <f t="shared" ref="B1082:K1082" si="20">AVERAGE(B257:B268)</f>
        <v>4.4314749999999998</v>
      </c>
      <c r="C1082" s="66">
        <f t="shared" si="20"/>
        <v>4.4314749999999998</v>
      </c>
      <c r="D1082" s="66">
        <f t="shared" si="20"/>
        <v>4.4360000000000008</v>
      </c>
      <c r="E1082" s="66">
        <f t="shared" si="20"/>
        <v>5.3829916666666664</v>
      </c>
      <c r="F1082" s="66">
        <f t="shared" si="20"/>
        <v>5.3829916666666664</v>
      </c>
      <c r="G1082" s="66">
        <f t="shared" si="20"/>
        <v>5.3885750000000003</v>
      </c>
      <c r="H1082" s="66">
        <f t="shared" si="20"/>
        <v>9.8345833333333328</v>
      </c>
      <c r="I1082" s="66">
        <f t="shared" si="20"/>
        <v>9.8401666666666667</v>
      </c>
      <c r="J1082" s="66">
        <f t="shared" si="20"/>
        <v>5.3829916666666664</v>
      </c>
      <c r="K1082" s="66">
        <f t="shared" si="20"/>
        <v>5.3885750000000003</v>
      </c>
    </row>
    <row r="1083" spans="1:11" ht="15">
      <c r="A1083" s="3">
        <v>2035</v>
      </c>
      <c r="B1083" s="66">
        <f t="shared" ref="B1083:K1083" si="21">AVERAGE(B269:B280)</f>
        <v>4.5522083333333327</v>
      </c>
      <c r="C1083" s="66">
        <f t="shared" si="21"/>
        <v>4.5522083333333327</v>
      </c>
      <c r="D1083" s="66">
        <f t="shared" si="21"/>
        <v>4.5567499999999992</v>
      </c>
      <c r="E1083" s="66">
        <f t="shared" si="21"/>
        <v>5.5499833333333326</v>
      </c>
      <c r="F1083" s="66">
        <f t="shared" si="21"/>
        <v>5.5499833333333326</v>
      </c>
      <c r="G1083" s="66">
        <f t="shared" si="21"/>
        <v>5.5555583333333329</v>
      </c>
      <c r="H1083" s="66">
        <f t="shared" si="21"/>
        <v>10.083266666666667</v>
      </c>
      <c r="I1083" s="66">
        <f t="shared" si="21"/>
        <v>10.088883333333333</v>
      </c>
      <c r="J1083" s="66">
        <f t="shared" si="21"/>
        <v>5.5499833333333326</v>
      </c>
      <c r="K1083" s="66">
        <f t="shared" si="21"/>
        <v>5.5555583333333329</v>
      </c>
    </row>
    <row r="1084" spans="1:11" ht="15">
      <c r="A1084" s="3">
        <v>2036</v>
      </c>
      <c r="B1084" s="66">
        <f t="shared" ref="B1084:K1084" si="22">AVERAGE(B281:B292)</f>
        <v>4.6735916666666668</v>
      </c>
      <c r="C1084" s="66">
        <f t="shared" si="22"/>
        <v>4.6735916666666668</v>
      </c>
      <c r="D1084" s="66">
        <f t="shared" si="22"/>
        <v>4.6781333333333341</v>
      </c>
      <c r="E1084" s="66">
        <f t="shared" si="22"/>
        <v>5.7116166666666652</v>
      </c>
      <c r="F1084" s="66">
        <f t="shared" si="22"/>
        <v>5.7116166666666652</v>
      </c>
      <c r="G1084" s="66">
        <f t="shared" si="22"/>
        <v>5.7171999999999992</v>
      </c>
      <c r="H1084" s="66">
        <f t="shared" si="22"/>
        <v>10.338275000000001</v>
      </c>
      <c r="I1084" s="66">
        <f t="shared" si="22"/>
        <v>10.343849999999998</v>
      </c>
      <c r="J1084" s="66">
        <f t="shared" si="22"/>
        <v>5.7116166666666652</v>
      </c>
      <c r="K1084" s="66">
        <f t="shared" si="22"/>
        <v>5.7171999999999992</v>
      </c>
    </row>
    <row r="1085" spans="1:11" ht="15">
      <c r="A1085" s="3">
        <v>2037</v>
      </c>
      <c r="B1085" s="66">
        <f t="shared" ref="B1085:K1085" si="23">AVERAGE(B293:B304)</f>
        <v>4.7968249999999992</v>
      </c>
      <c r="C1085" s="66">
        <f t="shared" si="23"/>
        <v>4.7968249999999992</v>
      </c>
      <c r="D1085" s="66">
        <f t="shared" si="23"/>
        <v>4.801358333333333</v>
      </c>
      <c r="E1085" s="66">
        <f t="shared" si="23"/>
        <v>5.8677333333333328</v>
      </c>
      <c r="F1085" s="66">
        <f t="shared" si="23"/>
        <v>5.8677333333333328</v>
      </c>
      <c r="G1085" s="66">
        <f t="shared" si="23"/>
        <v>5.8733166666666667</v>
      </c>
      <c r="H1085" s="66">
        <f t="shared" si="23"/>
        <v>10.599708333333334</v>
      </c>
      <c r="I1085" s="66">
        <f t="shared" si="23"/>
        <v>10.605291666666668</v>
      </c>
      <c r="J1085" s="66">
        <f t="shared" si="23"/>
        <v>5.8677333333333328</v>
      </c>
      <c r="K1085" s="66">
        <f t="shared" si="23"/>
        <v>5.8733166666666667</v>
      </c>
    </row>
    <row r="1086" spans="1:11" ht="15">
      <c r="A1086" s="3">
        <v>2038</v>
      </c>
      <c r="B1086" s="66">
        <f t="shared" ref="B1086:K1086" si="24">AVERAGE(B305:B316)</f>
        <v>4.9241666666666664</v>
      </c>
      <c r="C1086" s="66">
        <f t="shared" si="24"/>
        <v>4.9241666666666664</v>
      </c>
      <c r="D1086" s="66">
        <f t="shared" si="24"/>
        <v>4.928725</v>
      </c>
      <c r="E1086" s="66">
        <f t="shared" si="24"/>
        <v>6.0242416666666658</v>
      </c>
      <c r="F1086" s="66">
        <f t="shared" si="24"/>
        <v>6.0242416666666658</v>
      </c>
      <c r="G1086" s="66">
        <f t="shared" si="24"/>
        <v>6.029841666666667</v>
      </c>
      <c r="H1086" s="66">
        <f t="shared" si="24"/>
        <v>10.867766666666668</v>
      </c>
      <c r="I1086" s="66">
        <f t="shared" si="24"/>
        <v>10.87335</v>
      </c>
      <c r="J1086" s="66">
        <f t="shared" si="24"/>
        <v>6.0242416666666658</v>
      </c>
      <c r="K1086" s="66">
        <f t="shared" si="24"/>
        <v>6.029841666666667</v>
      </c>
    </row>
    <row r="1087" spans="1:11" ht="15">
      <c r="A1087" s="3">
        <v>2039</v>
      </c>
      <c r="B1087" s="66">
        <f t="shared" ref="B1087:K1087" si="25">AVERAGE(B317:B328)</f>
        <v>5.0543916666666666</v>
      </c>
      <c r="C1087" s="66">
        <f t="shared" si="25"/>
        <v>5.0543916666666666</v>
      </c>
      <c r="D1087" s="66">
        <f t="shared" si="25"/>
        <v>5.0589333333333331</v>
      </c>
      <c r="E1087" s="66">
        <f t="shared" si="25"/>
        <v>6.1721166666666667</v>
      </c>
      <c r="F1087" s="66">
        <f t="shared" si="25"/>
        <v>6.1721166666666667</v>
      </c>
      <c r="G1087" s="66">
        <f t="shared" si="25"/>
        <v>6.1777000000000006</v>
      </c>
      <c r="H1087" s="66">
        <f t="shared" si="25"/>
        <v>11.142583333333333</v>
      </c>
      <c r="I1087" s="66">
        <f t="shared" si="25"/>
        <v>11.148166666666663</v>
      </c>
      <c r="J1087" s="66">
        <f t="shared" si="25"/>
        <v>6.1721166666666667</v>
      </c>
      <c r="K1087" s="66">
        <f t="shared" si="25"/>
        <v>6.1777000000000006</v>
      </c>
    </row>
    <row r="1088" spans="1:11" ht="15">
      <c r="A1088" s="3">
        <v>2040</v>
      </c>
      <c r="B1088" s="66">
        <f t="shared" ref="B1088:K1088" si="26">AVERAGE(B329:B340)</f>
        <v>5.1875999999999998</v>
      </c>
      <c r="C1088" s="66">
        <f t="shared" si="26"/>
        <v>5.1875999999999998</v>
      </c>
      <c r="D1088" s="66">
        <f t="shared" si="26"/>
        <v>5.1921333333333335</v>
      </c>
      <c r="E1088" s="66">
        <f t="shared" si="26"/>
        <v>6.3228333333333326</v>
      </c>
      <c r="F1088" s="66">
        <f t="shared" si="26"/>
        <v>6.3228333333333326</v>
      </c>
      <c r="G1088" s="66">
        <f t="shared" si="26"/>
        <v>6.3284333333333329</v>
      </c>
      <c r="H1088" s="66">
        <f t="shared" si="26"/>
        <v>11.424391666666667</v>
      </c>
      <c r="I1088" s="66">
        <f t="shared" si="26"/>
        <v>11.429958333333332</v>
      </c>
      <c r="J1088" s="66">
        <f t="shared" si="26"/>
        <v>6.3228333333333326</v>
      </c>
      <c r="K1088" s="66">
        <f t="shared" si="26"/>
        <v>6.3284333333333329</v>
      </c>
    </row>
    <row r="1089" spans="1:11" ht="15">
      <c r="A1089" s="3">
        <v>2041</v>
      </c>
      <c r="B1089" s="66">
        <f t="shared" ref="B1089:K1089" si="27">AVERAGE(B341:B352)</f>
        <v>5.324349999999999</v>
      </c>
      <c r="C1089" s="66">
        <f t="shared" si="27"/>
        <v>5.324349999999999</v>
      </c>
      <c r="D1089" s="66">
        <f t="shared" si="27"/>
        <v>5.3288916666666672</v>
      </c>
      <c r="E1089" s="66">
        <f t="shared" si="27"/>
        <v>6.4772500000000006</v>
      </c>
      <c r="F1089" s="66">
        <f t="shared" si="27"/>
        <v>6.4772500000000006</v>
      </c>
      <c r="G1089" s="66">
        <f t="shared" si="27"/>
        <v>6.4828583333333327</v>
      </c>
      <c r="H1089" s="66">
        <f t="shared" si="27"/>
        <v>11.713291666666668</v>
      </c>
      <c r="I1089" s="66">
        <f t="shared" si="27"/>
        <v>11.71885833333333</v>
      </c>
      <c r="J1089" s="66">
        <f t="shared" si="27"/>
        <v>6.4772500000000006</v>
      </c>
      <c r="K1089" s="66">
        <f t="shared" si="27"/>
        <v>6.4828583333333327</v>
      </c>
    </row>
    <row r="1090" spans="1:11" ht="15">
      <c r="A1090" s="3">
        <v>2042</v>
      </c>
      <c r="B1090" s="66">
        <f t="shared" ref="B1090:K1090" si="28">AVERAGE(B353:B364)</f>
        <v>5.4647166666666651</v>
      </c>
      <c r="C1090" s="66">
        <f t="shared" si="28"/>
        <v>5.4647166666666651</v>
      </c>
      <c r="D1090" s="66">
        <f t="shared" si="28"/>
        <v>5.4692583333333333</v>
      </c>
      <c r="E1090" s="66">
        <f t="shared" si="28"/>
        <v>6.6354583333333323</v>
      </c>
      <c r="F1090" s="66">
        <f t="shared" si="28"/>
        <v>6.6354583333333323</v>
      </c>
      <c r="G1090" s="66">
        <f t="shared" si="28"/>
        <v>6.6410583333333335</v>
      </c>
      <c r="H1090" s="66">
        <f t="shared" si="28"/>
        <v>12.009483333333334</v>
      </c>
      <c r="I1090" s="66">
        <f t="shared" si="28"/>
        <v>12.015074999999998</v>
      </c>
      <c r="J1090" s="66">
        <f t="shared" si="28"/>
        <v>6.6354583333333323</v>
      </c>
      <c r="K1090" s="66">
        <f t="shared" si="28"/>
        <v>6.6410583333333335</v>
      </c>
    </row>
    <row r="1091" spans="1:11" ht="15">
      <c r="A1091" s="3">
        <v>2043</v>
      </c>
      <c r="B1091" s="66">
        <f t="shared" ref="B1091:K1091" si="29">AVERAGE(B365:B376)</f>
        <v>5.6088500000000003</v>
      </c>
      <c r="C1091" s="66">
        <f t="shared" si="29"/>
        <v>5.6088500000000003</v>
      </c>
      <c r="D1091" s="66">
        <f t="shared" si="29"/>
        <v>5.6133749999999987</v>
      </c>
      <c r="E1091" s="66">
        <f t="shared" si="29"/>
        <v>6.7975583333333347</v>
      </c>
      <c r="F1091" s="66">
        <f t="shared" si="29"/>
        <v>6.7975583333333347</v>
      </c>
      <c r="G1091" s="66">
        <f t="shared" si="29"/>
        <v>6.8031333333333324</v>
      </c>
      <c r="H1091" s="66">
        <f t="shared" si="29"/>
        <v>12.313191666666667</v>
      </c>
      <c r="I1091" s="66">
        <f t="shared" si="29"/>
        <v>12.318766666666669</v>
      </c>
      <c r="J1091" s="66">
        <f t="shared" si="29"/>
        <v>6.7975583333333347</v>
      </c>
      <c r="K1091" s="66">
        <f t="shared" si="29"/>
        <v>6.8031333333333324</v>
      </c>
    </row>
    <row r="1092" spans="1:11" ht="15">
      <c r="A1092" s="3">
        <v>2044</v>
      </c>
      <c r="B1092" s="66">
        <f t="shared" ref="B1092:K1092" si="30">AVERAGE(B377:B388)</f>
        <v>5.7567750000000011</v>
      </c>
      <c r="C1092" s="66">
        <f t="shared" si="30"/>
        <v>5.7567750000000011</v>
      </c>
      <c r="D1092" s="66">
        <f t="shared" si="30"/>
        <v>5.761308333333333</v>
      </c>
      <c r="E1092" s="66">
        <f t="shared" si="30"/>
        <v>6.9636083333333332</v>
      </c>
      <c r="F1092" s="66">
        <f t="shared" si="30"/>
        <v>6.9636083333333332</v>
      </c>
      <c r="G1092" s="66">
        <f t="shared" si="30"/>
        <v>6.9691916666666662</v>
      </c>
      <c r="H1092" s="66">
        <f t="shared" si="30"/>
        <v>12.624566666666666</v>
      </c>
      <c r="I1092" s="66">
        <f t="shared" si="30"/>
        <v>12.630133333333333</v>
      </c>
      <c r="J1092" s="66">
        <f t="shared" si="30"/>
        <v>6.9636083333333332</v>
      </c>
      <c r="K1092" s="66">
        <f t="shared" si="30"/>
        <v>6.9691916666666662</v>
      </c>
    </row>
    <row r="1093" spans="1:11" ht="15">
      <c r="A1093" s="3">
        <v>2045</v>
      </c>
      <c r="B1093" s="66">
        <f t="shared" ref="B1093:K1093" si="31">AVERAGE(B389:B400)</f>
        <v>5.9086583333333325</v>
      </c>
      <c r="C1093" s="66">
        <f t="shared" si="31"/>
        <v>5.9086583333333325</v>
      </c>
      <c r="D1093" s="66">
        <f t="shared" si="31"/>
        <v>5.9132249999999997</v>
      </c>
      <c r="E1093" s="66">
        <f t="shared" si="31"/>
        <v>7.13375</v>
      </c>
      <c r="F1093" s="66">
        <f t="shared" si="31"/>
        <v>7.13375</v>
      </c>
      <c r="G1093" s="66">
        <f t="shared" si="31"/>
        <v>7.1393416666666676</v>
      </c>
      <c r="H1093" s="66">
        <f t="shared" si="31"/>
        <v>12.943816666666665</v>
      </c>
      <c r="I1093" s="66">
        <f t="shared" si="31"/>
        <v>12.949408333333333</v>
      </c>
      <c r="J1093" s="66">
        <f t="shared" si="31"/>
        <v>7.13375</v>
      </c>
      <c r="K1093" s="66">
        <f t="shared" si="31"/>
        <v>7.1393416666666676</v>
      </c>
    </row>
    <row r="1094" spans="1:11" ht="15">
      <c r="A1094" s="3">
        <v>2046</v>
      </c>
      <c r="B1094" s="66">
        <f t="shared" ref="B1094:K1094" si="32">AVERAGE(B401:B412)</f>
        <v>6.0645833333333341</v>
      </c>
      <c r="C1094" s="66">
        <f t="shared" si="32"/>
        <v>6.0645833333333341</v>
      </c>
      <c r="D1094" s="66">
        <f t="shared" si="32"/>
        <v>6.0691416666666669</v>
      </c>
      <c r="E1094" s="66">
        <f t="shared" si="32"/>
        <v>7.308083333333335</v>
      </c>
      <c r="F1094" s="66">
        <f t="shared" si="32"/>
        <v>7.308083333333335</v>
      </c>
      <c r="G1094" s="66">
        <f t="shared" si="32"/>
        <v>7.3136583333333336</v>
      </c>
      <c r="H1094" s="66">
        <f t="shared" si="32"/>
        <v>13.271141666666667</v>
      </c>
      <c r="I1094" s="66">
        <f t="shared" si="32"/>
        <v>13.276741666666666</v>
      </c>
      <c r="J1094" s="66">
        <f t="shared" si="32"/>
        <v>7.308083333333335</v>
      </c>
      <c r="K1094" s="66">
        <f t="shared" si="32"/>
        <v>7.3136583333333336</v>
      </c>
    </row>
    <row r="1095" spans="1:11" ht="15">
      <c r="A1095" s="3">
        <v>2047</v>
      </c>
      <c r="B1095" s="66">
        <f t="shared" ref="B1095:K1095" si="33">AVERAGE(B413:B424)</f>
        <v>6.2246583333333332</v>
      </c>
      <c r="C1095" s="66">
        <f t="shared" si="33"/>
        <v>6.2246583333333332</v>
      </c>
      <c r="D1095" s="66">
        <f t="shared" si="33"/>
        <v>6.2292249999999996</v>
      </c>
      <c r="E1095" s="66">
        <f t="shared" si="33"/>
        <v>7.4866750000000009</v>
      </c>
      <c r="F1095" s="66">
        <f t="shared" si="33"/>
        <v>7.4866750000000009</v>
      </c>
      <c r="G1095" s="66">
        <f t="shared" si="33"/>
        <v>7.492233333333334</v>
      </c>
      <c r="H1095" s="66">
        <f t="shared" si="33"/>
        <v>13.606758333333334</v>
      </c>
      <c r="I1095" s="66">
        <f t="shared" si="33"/>
        <v>13.612333333333334</v>
      </c>
      <c r="J1095" s="66">
        <f t="shared" si="33"/>
        <v>7.4866750000000009</v>
      </c>
      <c r="K1095" s="66">
        <f t="shared" si="33"/>
        <v>7.492233333333334</v>
      </c>
    </row>
    <row r="1096" spans="1:11" ht="15">
      <c r="A1096" s="3">
        <v>2048</v>
      </c>
      <c r="B1096" s="66">
        <f t="shared" ref="B1096:K1096" si="34">AVERAGE(B425:B436)</f>
        <v>6.3890083333333338</v>
      </c>
      <c r="C1096" s="66">
        <f t="shared" si="34"/>
        <v>6.3890083333333338</v>
      </c>
      <c r="D1096" s="66">
        <f t="shared" si="34"/>
        <v>6.3935500000000003</v>
      </c>
      <c r="E1096" s="66">
        <f t="shared" si="34"/>
        <v>7.6696083333333327</v>
      </c>
      <c r="F1096" s="66">
        <f t="shared" si="34"/>
        <v>7.6696083333333327</v>
      </c>
      <c r="G1096" s="66">
        <f t="shared" si="34"/>
        <v>7.6752250000000002</v>
      </c>
      <c r="H1096" s="66">
        <f t="shared" si="34"/>
        <v>13.950850000000001</v>
      </c>
      <c r="I1096" s="66">
        <f t="shared" si="34"/>
        <v>13.956433333333335</v>
      </c>
      <c r="J1096" s="66">
        <f t="shared" si="34"/>
        <v>7.6696083333333327</v>
      </c>
      <c r="K1096" s="66">
        <f t="shared" si="34"/>
        <v>7.6752250000000002</v>
      </c>
    </row>
    <row r="1097" spans="1:11" ht="15">
      <c r="A1097" s="3">
        <v>2049</v>
      </c>
      <c r="B1097" s="66">
        <f t="shared" ref="B1097:K1097" si="35">AVERAGE(B437:B448)</f>
        <v>6.5577333333333323</v>
      </c>
      <c r="C1097" s="66">
        <f t="shared" si="35"/>
        <v>6.5577333333333323</v>
      </c>
      <c r="D1097" s="66">
        <f t="shared" si="35"/>
        <v>6.5622916666666669</v>
      </c>
      <c r="E1097" s="66">
        <f t="shared" si="35"/>
        <v>7.8570916666666655</v>
      </c>
      <c r="F1097" s="66">
        <f t="shared" si="35"/>
        <v>7.8570916666666655</v>
      </c>
      <c r="G1097" s="66">
        <f t="shared" si="35"/>
        <v>7.8626833333333339</v>
      </c>
      <c r="H1097" s="66">
        <f t="shared" si="35"/>
        <v>14.303650000000005</v>
      </c>
      <c r="I1097" s="66">
        <f t="shared" si="35"/>
        <v>14.309216666666666</v>
      </c>
      <c r="J1097" s="66">
        <f t="shared" si="35"/>
        <v>7.8570916666666655</v>
      </c>
      <c r="K1097" s="66">
        <f t="shared" si="35"/>
        <v>7.8626833333333339</v>
      </c>
    </row>
    <row r="1098" spans="1:11" ht="15">
      <c r="A1098" s="3">
        <v>2050</v>
      </c>
      <c r="B1098" s="66">
        <f t="shared" ref="B1098:K1098" si="36">AVERAGE(B449:B460)</f>
        <v>6.7309499999999991</v>
      </c>
      <c r="C1098" s="66">
        <f t="shared" si="36"/>
        <v>6.7309499999999991</v>
      </c>
      <c r="D1098" s="66">
        <f t="shared" si="36"/>
        <v>6.7354999999999992</v>
      </c>
      <c r="E1098" s="66">
        <f t="shared" si="36"/>
        <v>8.0491666666666681</v>
      </c>
      <c r="F1098" s="66">
        <f t="shared" si="36"/>
        <v>8.0491666666666681</v>
      </c>
      <c r="G1098" s="66">
        <f t="shared" si="36"/>
        <v>8.0547500000000003</v>
      </c>
      <c r="H1098" s="66">
        <f t="shared" si="36"/>
        <v>14.665374999999999</v>
      </c>
      <c r="I1098" s="66">
        <f t="shared" si="36"/>
        <v>14.670958333333331</v>
      </c>
      <c r="J1098" s="66">
        <f t="shared" si="36"/>
        <v>8.0491666666666681</v>
      </c>
      <c r="K1098" s="66">
        <f t="shared" si="36"/>
        <v>8.0547500000000003</v>
      </c>
    </row>
    <row r="1099" spans="1:11" ht="15">
      <c r="A1099" s="3">
        <v>2051</v>
      </c>
      <c r="B1099" s="66">
        <f t="shared" ref="B1099:K1099" si="37">AVERAGE(B461:B472)</f>
        <v>6.9087916666666667</v>
      </c>
      <c r="C1099" s="66">
        <f t="shared" si="37"/>
        <v>6.9087916666666667</v>
      </c>
      <c r="D1099" s="66">
        <f t="shared" si="37"/>
        <v>6.9133500000000003</v>
      </c>
      <c r="E1099" s="66">
        <f t="shared" si="37"/>
        <v>8.2459583333333324</v>
      </c>
      <c r="F1099" s="66">
        <f t="shared" si="37"/>
        <v>8.2459583333333324</v>
      </c>
      <c r="G1099" s="66">
        <f t="shared" si="37"/>
        <v>8.2515249999999991</v>
      </c>
      <c r="H1099" s="66">
        <f t="shared" si="37"/>
        <v>15.036225000000002</v>
      </c>
      <c r="I1099" s="66">
        <f t="shared" si="37"/>
        <v>15.041816666666664</v>
      </c>
      <c r="J1099" s="66">
        <f t="shared" si="37"/>
        <v>8.2459583333333324</v>
      </c>
      <c r="K1099" s="66">
        <f t="shared" si="37"/>
        <v>8.2515249999999991</v>
      </c>
    </row>
    <row r="1100" spans="1:11" ht="15">
      <c r="A1100" s="3">
        <v>2052</v>
      </c>
      <c r="B1100" s="66">
        <f t="shared" ref="B1100:K1100" si="38">AVERAGE(B473:B484)</f>
        <v>7.0913833333333329</v>
      </c>
      <c r="C1100" s="66">
        <f t="shared" si="38"/>
        <v>7.0913833333333329</v>
      </c>
      <c r="D1100" s="66">
        <f t="shared" si="38"/>
        <v>7.0959250000000003</v>
      </c>
      <c r="E1100" s="66">
        <f t="shared" si="38"/>
        <v>8.4475583333333333</v>
      </c>
      <c r="F1100" s="66">
        <f t="shared" si="38"/>
        <v>8.4475583333333333</v>
      </c>
      <c r="G1100" s="66">
        <f t="shared" si="38"/>
        <v>8.4531583333333327</v>
      </c>
      <c r="H1100" s="66">
        <f t="shared" si="38"/>
        <v>15.416466666666667</v>
      </c>
      <c r="I1100" s="66">
        <f t="shared" si="38"/>
        <v>15.422058333333334</v>
      </c>
      <c r="J1100" s="66">
        <f t="shared" si="38"/>
        <v>8.4475583333333333</v>
      </c>
      <c r="K1100" s="66">
        <f t="shared" si="38"/>
        <v>8.4531583333333327</v>
      </c>
    </row>
    <row r="1101" spans="1:11" ht="15">
      <c r="A1101" s="3">
        <v>2053</v>
      </c>
      <c r="B1101" s="66">
        <f t="shared" ref="B1101:K1101" si="39">AVERAGE(B485:B496)</f>
        <v>7.2788166666666667</v>
      </c>
      <c r="C1101" s="66">
        <f t="shared" si="39"/>
        <v>7.2788166666666667</v>
      </c>
      <c r="D1101" s="66">
        <f t="shared" si="39"/>
        <v>7.2833499999999995</v>
      </c>
      <c r="E1101" s="66">
        <f t="shared" si="39"/>
        <v>8.6541250000000005</v>
      </c>
      <c r="F1101" s="66">
        <f t="shared" si="39"/>
        <v>8.6541250000000005</v>
      </c>
      <c r="G1101" s="66">
        <f t="shared" si="39"/>
        <v>8.6597249999999999</v>
      </c>
      <c r="H1101" s="66">
        <f t="shared" si="39"/>
        <v>15.806333333333335</v>
      </c>
      <c r="I1101" s="66">
        <f t="shared" si="39"/>
        <v>15.811916666666667</v>
      </c>
      <c r="J1101" s="66">
        <f t="shared" si="39"/>
        <v>8.6541250000000005</v>
      </c>
      <c r="K1101" s="66">
        <f t="shared" si="39"/>
        <v>8.6597249999999999</v>
      </c>
    </row>
    <row r="1102" spans="1:11" ht="15">
      <c r="A1102" s="3">
        <v>2054</v>
      </c>
      <c r="B1102" s="66">
        <f t="shared" ref="B1102:K1102" si="40">AVERAGE(B497:B508)</f>
        <v>7.4712500000000004</v>
      </c>
      <c r="C1102" s="66">
        <f t="shared" si="40"/>
        <v>7.4712500000000004</v>
      </c>
      <c r="D1102" s="66">
        <f t="shared" si="40"/>
        <v>7.4758000000000004</v>
      </c>
      <c r="E1102" s="66">
        <f t="shared" si="40"/>
        <v>8.8657833333333329</v>
      </c>
      <c r="F1102" s="66">
        <f t="shared" si="40"/>
        <v>8.8657833333333329</v>
      </c>
      <c r="G1102" s="66">
        <f t="shared" si="40"/>
        <v>8.8713666666666668</v>
      </c>
      <c r="H1102" s="66">
        <f t="shared" si="40"/>
        <v>16.206050000000001</v>
      </c>
      <c r="I1102" s="66">
        <f t="shared" si="40"/>
        <v>16.211641666666665</v>
      </c>
      <c r="J1102" s="66">
        <f t="shared" si="40"/>
        <v>8.8657833333333329</v>
      </c>
      <c r="K1102" s="66">
        <f t="shared" si="40"/>
        <v>8.8713666666666668</v>
      </c>
    </row>
    <row r="1103" spans="1:11" ht="15">
      <c r="A1103" s="3">
        <v>2055</v>
      </c>
      <c r="B1103" s="66">
        <f t="shared" ref="B1103:K1103" si="41">AVERAGE(B17:B520)</f>
        <v>4.7406188492063492</v>
      </c>
      <c r="C1103" s="66">
        <f t="shared" si="41"/>
        <v>4.7409805555555558</v>
      </c>
      <c r="D1103" s="66">
        <f t="shared" si="41"/>
        <v>4.7455287698412718</v>
      </c>
      <c r="E1103" s="66">
        <f t="shared" si="41"/>
        <v>5.7063898809523801</v>
      </c>
      <c r="F1103" s="66">
        <f t="shared" si="41"/>
        <v>5.7124347222222216</v>
      </c>
      <c r="G1103" s="66">
        <f t="shared" si="41"/>
        <v>5.7181876984127014</v>
      </c>
      <c r="H1103" s="66">
        <f t="shared" si="41"/>
        <v>10.420703174603181</v>
      </c>
      <c r="I1103" s="66">
        <f t="shared" si="41"/>
        <v>10.426454166666662</v>
      </c>
      <c r="J1103" s="66">
        <f t="shared" si="41"/>
        <v>5.7063898809523801</v>
      </c>
      <c r="K1103" s="66">
        <f t="shared" si="41"/>
        <v>5.7121420634920677</v>
      </c>
    </row>
    <row r="1104" spans="1:11" ht="15">
      <c r="A1104" s="3">
        <v>2056</v>
      </c>
      <c r="B1104" s="66">
        <f t="shared" ref="B1104:K1104" si="42">AVERAGE(B521:B532)</f>
        <v>7.8716833333333343</v>
      </c>
      <c r="C1104" s="66">
        <f t="shared" si="42"/>
        <v>7.8716833333333343</v>
      </c>
      <c r="D1104" s="66">
        <f t="shared" si="42"/>
        <v>7.8762333333333316</v>
      </c>
      <c r="E1104" s="66">
        <f t="shared" si="42"/>
        <v>9.3047749999999994</v>
      </c>
      <c r="F1104" s="66">
        <f t="shared" si="42"/>
        <v>9.3047749999999994</v>
      </c>
      <c r="G1104" s="66">
        <f t="shared" si="42"/>
        <v>9.3103750000000005</v>
      </c>
      <c r="H1104" s="66">
        <f t="shared" si="42"/>
        <v>17.036058333333333</v>
      </c>
      <c r="I1104" s="66">
        <f t="shared" si="42"/>
        <v>17.041650000000001</v>
      </c>
      <c r="J1104" s="66">
        <f t="shared" si="42"/>
        <v>9.3047749999999994</v>
      </c>
      <c r="K1104" s="66">
        <f t="shared" si="42"/>
        <v>9.3103750000000005</v>
      </c>
    </row>
    <row r="1105" spans="1:11" ht="15">
      <c r="A1105" s="3">
        <v>2057</v>
      </c>
      <c r="B1105" s="66">
        <f t="shared" ref="B1105:K1105" si="43">AVERAGE(B533:B544)</f>
        <v>8.079958333333332</v>
      </c>
      <c r="C1105" s="66">
        <f t="shared" si="43"/>
        <v>8.079958333333332</v>
      </c>
      <c r="D1105" s="66">
        <f t="shared" si="43"/>
        <v>8.0845083333333321</v>
      </c>
      <c r="E1105" s="66">
        <f t="shared" si="43"/>
        <v>9.5323916666666673</v>
      </c>
      <c r="F1105" s="66">
        <f t="shared" si="43"/>
        <v>9.5323916666666673</v>
      </c>
      <c r="G1105" s="66">
        <f t="shared" si="43"/>
        <v>9.5379999999999985</v>
      </c>
      <c r="H1105" s="66">
        <f t="shared" si="43"/>
        <v>17.466874999999998</v>
      </c>
      <c r="I1105" s="66">
        <f t="shared" si="43"/>
        <v>17.472466666666669</v>
      </c>
      <c r="J1105" s="66">
        <f t="shared" si="43"/>
        <v>9.5323916666666673</v>
      </c>
      <c r="K1105" s="66">
        <f t="shared" si="43"/>
        <v>9.5379999999999985</v>
      </c>
    </row>
    <row r="1106" spans="1:11" ht="15">
      <c r="A1106" s="3">
        <v>2058</v>
      </c>
      <c r="B1106" s="66">
        <f t="shared" ref="B1106:K1106" si="44">AVERAGE(B545:B556)</f>
        <v>8.2937916666666691</v>
      </c>
      <c r="C1106" s="66">
        <f t="shared" si="44"/>
        <v>8.2937916666666691</v>
      </c>
      <c r="D1106" s="66">
        <f t="shared" si="44"/>
        <v>8.2983333333333338</v>
      </c>
      <c r="E1106" s="66">
        <f t="shared" si="44"/>
        <v>9.7656249999999982</v>
      </c>
      <c r="F1106" s="66">
        <f t="shared" si="44"/>
        <v>9.7656249999999982</v>
      </c>
      <c r="G1106" s="66">
        <f t="shared" si="44"/>
        <v>9.7712166666666658</v>
      </c>
      <c r="H1106" s="66">
        <f t="shared" si="44"/>
        <v>17.908583333333329</v>
      </c>
      <c r="I1106" s="66">
        <f t="shared" si="44"/>
        <v>17.914183333333334</v>
      </c>
      <c r="J1106" s="66">
        <f t="shared" si="44"/>
        <v>9.7656249999999982</v>
      </c>
      <c r="K1106" s="66">
        <f t="shared" si="44"/>
        <v>9.7712166666666658</v>
      </c>
    </row>
    <row r="1107" spans="1:11" ht="15">
      <c r="A1107" s="3">
        <v>2059</v>
      </c>
      <c r="B1107" s="66">
        <f t="shared" ref="B1107:K1107" si="45">AVERAGE(B557:B568)</f>
        <v>8.513325</v>
      </c>
      <c r="C1107" s="66">
        <f t="shared" si="45"/>
        <v>8.513325</v>
      </c>
      <c r="D1107" s="66">
        <f t="shared" si="45"/>
        <v>8.5178666666666683</v>
      </c>
      <c r="E1107" s="66">
        <f t="shared" si="45"/>
        <v>10.004574999999999</v>
      </c>
      <c r="F1107" s="66">
        <f t="shared" si="45"/>
        <v>10.004574999999999</v>
      </c>
      <c r="G1107" s="66">
        <f t="shared" si="45"/>
        <v>10.010166666666667</v>
      </c>
      <c r="H1107" s="66">
        <f t="shared" si="45"/>
        <v>18.361466666666665</v>
      </c>
      <c r="I1107" s="66">
        <f t="shared" si="45"/>
        <v>18.367041666666669</v>
      </c>
      <c r="J1107" s="66">
        <f t="shared" si="45"/>
        <v>10.004574999999999</v>
      </c>
      <c r="K1107" s="66">
        <f t="shared" si="45"/>
        <v>10.010166666666667</v>
      </c>
    </row>
    <row r="1108" spans="1:11" ht="15">
      <c r="A1108" s="3">
        <v>2060</v>
      </c>
      <c r="B1108" s="66">
        <f t="shared" ref="B1108:K1108" si="46">AVERAGE(B569:B580)</f>
        <v>8.738741666666666</v>
      </c>
      <c r="C1108" s="66">
        <f t="shared" si="46"/>
        <v>8.738741666666666</v>
      </c>
      <c r="D1108" s="66">
        <f t="shared" si="46"/>
        <v>8.7432749999999988</v>
      </c>
      <c r="E1108" s="66">
        <f t="shared" si="46"/>
        <v>10.249391666666666</v>
      </c>
      <c r="F1108" s="66">
        <f t="shared" si="46"/>
        <v>10.249391666666666</v>
      </c>
      <c r="G1108" s="66">
        <f t="shared" si="46"/>
        <v>10.254983333333334</v>
      </c>
      <c r="H1108" s="66">
        <f t="shared" si="46"/>
        <v>18.82578333333333</v>
      </c>
      <c r="I1108" s="66">
        <f t="shared" si="46"/>
        <v>18.831399999999999</v>
      </c>
      <c r="J1108" s="66">
        <f t="shared" si="46"/>
        <v>10.249391666666666</v>
      </c>
      <c r="K1108" s="66">
        <f t="shared" si="46"/>
        <v>10.254983333333334</v>
      </c>
    </row>
    <row r="1109" spans="1:11" ht="15">
      <c r="A1109" s="3">
        <v>2061</v>
      </c>
      <c r="B1109" s="66">
        <f t="shared" ref="B1109:K1109" si="47">AVERAGE(B581:B592)</f>
        <v>8.9701666666666657</v>
      </c>
      <c r="C1109" s="66">
        <f t="shared" si="47"/>
        <v>8.9701666666666657</v>
      </c>
      <c r="D1109" s="66">
        <f t="shared" si="47"/>
        <v>8.9747083333333322</v>
      </c>
      <c r="E1109" s="66">
        <f t="shared" si="47"/>
        <v>10.500225000000002</v>
      </c>
      <c r="F1109" s="66">
        <f t="shared" si="47"/>
        <v>10.500225000000002</v>
      </c>
      <c r="G1109" s="66">
        <f t="shared" si="47"/>
        <v>10.505825</v>
      </c>
      <c r="H1109" s="66">
        <f t="shared" si="47"/>
        <v>19.301883333333333</v>
      </c>
      <c r="I1109" s="66">
        <f t="shared" si="47"/>
        <v>19.307475</v>
      </c>
      <c r="J1109" s="66">
        <f t="shared" si="47"/>
        <v>10.500225000000002</v>
      </c>
      <c r="K1109" s="66">
        <f t="shared" si="47"/>
        <v>10.505825</v>
      </c>
    </row>
    <row r="1110" spans="1:11" ht="15">
      <c r="A1110" s="3">
        <v>2062</v>
      </c>
      <c r="B1110" s="66">
        <f t="shared" ref="B1110:K1119" ca="1" si="48">AVERAGE(OFFSET(B$593,($A1110-$A$1110)*12,0,12,1))</f>
        <v>9.2077833333333352</v>
      </c>
      <c r="C1110" s="66">
        <f t="shared" ca="1" si="48"/>
        <v>9.2077833333333352</v>
      </c>
      <c r="D1110" s="66">
        <f t="shared" ca="1" si="48"/>
        <v>9.2123250000000017</v>
      </c>
      <c r="E1110" s="66">
        <f t="shared" ca="1" si="48"/>
        <v>10.757233333333332</v>
      </c>
      <c r="F1110" s="66">
        <f t="shared" ca="1" si="48"/>
        <v>10.757233333333332</v>
      </c>
      <c r="G1110" s="66">
        <f t="shared" ca="1" si="48"/>
        <v>10.762841666666667</v>
      </c>
      <c r="H1110" s="66">
        <f t="shared" ca="1" si="48"/>
        <v>19.790008333333336</v>
      </c>
      <c r="I1110" s="66">
        <f t="shared" ca="1" si="48"/>
        <v>19.79558333333333</v>
      </c>
      <c r="J1110" s="66">
        <f t="shared" ca="1" si="48"/>
        <v>10.757233333333332</v>
      </c>
      <c r="K1110" s="66">
        <f t="shared" ca="1" si="48"/>
        <v>10.762841666666667</v>
      </c>
    </row>
    <row r="1111" spans="1:11" ht="15">
      <c r="A1111" s="3">
        <v>2063</v>
      </c>
      <c r="B1111" s="66">
        <f t="shared" ca="1" si="48"/>
        <v>9.4453666666666667</v>
      </c>
      <c r="C1111" s="66">
        <f t="shared" ca="1" si="48"/>
        <v>9.4453666666666667</v>
      </c>
      <c r="D1111" s="66">
        <f t="shared" ca="1" si="48"/>
        <v>9.4499333333333322</v>
      </c>
      <c r="E1111" s="66">
        <f t="shared" ca="1" si="48"/>
        <v>11.014258333333332</v>
      </c>
      <c r="F1111" s="66">
        <f t="shared" ca="1" si="48"/>
        <v>11.014258333333332</v>
      </c>
      <c r="G1111" s="66">
        <f t="shared" ca="1" si="48"/>
        <v>11.01985</v>
      </c>
      <c r="H1111" s="66">
        <f t="shared" ca="1" si="48"/>
        <v>20.278116666666669</v>
      </c>
      <c r="I1111" s="66">
        <f t="shared" ca="1" si="48"/>
        <v>20.283683333333332</v>
      </c>
      <c r="J1111" s="66">
        <f t="shared" ca="1" si="48"/>
        <v>11.014258333333332</v>
      </c>
      <c r="K1111" s="66">
        <f t="shared" ca="1" si="48"/>
        <v>11.01985</v>
      </c>
    </row>
    <row r="1112" spans="1:11" ht="15">
      <c r="A1112" s="3">
        <v>2064</v>
      </c>
      <c r="B1112" s="66">
        <f t="shared" ca="1" si="48"/>
        <v>9.6830083333333334</v>
      </c>
      <c r="C1112" s="66">
        <f t="shared" ca="1" si="48"/>
        <v>9.6830083333333334</v>
      </c>
      <c r="D1112" s="66">
        <f t="shared" ca="1" si="48"/>
        <v>9.6875666666666671</v>
      </c>
      <c r="E1112" s="66">
        <f t="shared" ca="1" si="48"/>
        <v>11.271266666666667</v>
      </c>
      <c r="F1112" s="66">
        <f t="shared" ca="1" si="48"/>
        <v>11.271266666666667</v>
      </c>
      <c r="G1112" s="66">
        <f t="shared" ca="1" si="48"/>
        <v>11.276858333333335</v>
      </c>
      <c r="H1112" s="66">
        <f t="shared" ca="1" si="48"/>
        <v>20.766216666666665</v>
      </c>
      <c r="I1112" s="66">
        <f t="shared" ca="1" si="48"/>
        <v>20.771791666666669</v>
      </c>
      <c r="J1112" s="66">
        <f t="shared" ca="1" si="48"/>
        <v>11.271266666666667</v>
      </c>
      <c r="K1112" s="66">
        <f t="shared" ca="1" si="48"/>
        <v>11.276858333333335</v>
      </c>
    </row>
    <row r="1113" spans="1:11" ht="15">
      <c r="A1113" s="3">
        <v>2065</v>
      </c>
      <c r="B1113" s="66">
        <f t="shared" ca="1" si="48"/>
        <v>9.9206166666666658</v>
      </c>
      <c r="C1113" s="66">
        <f t="shared" ca="1" si="48"/>
        <v>9.9206166666666658</v>
      </c>
      <c r="D1113" s="66">
        <f t="shared" ca="1" si="48"/>
        <v>9.9251749999999976</v>
      </c>
      <c r="E1113" s="66">
        <f t="shared" ca="1" si="48"/>
        <v>11.528291666666666</v>
      </c>
      <c r="F1113" s="66">
        <f t="shared" ca="1" si="48"/>
        <v>11.528291666666666</v>
      </c>
      <c r="G1113" s="66">
        <f t="shared" ca="1" si="48"/>
        <v>11.533875</v>
      </c>
      <c r="H1113" s="66">
        <f t="shared" ca="1" si="48"/>
        <v>21.254341666666665</v>
      </c>
      <c r="I1113" s="66">
        <f t="shared" ca="1" si="48"/>
        <v>21.259924999999999</v>
      </c>
      <c r="J1113" s="66">
        <f t="shared" ca="1" si="48"/>
        <v>11.528291666666666</v>
      </c>
      <c r="K1113" s="66">
        <f t="shared" ca="1" si="48"/>
        <v>11.533875</v>
      </c>
    </row>
    <row r="1114" spans="1:11" ht="15">
      <c r="A1114" s="3">
        <v>2066</v>
      </c>
      <c r="B1114" s="66">
        <f t="shared" ca="1" si="48"/>
        <v>10.158233333333335</v>
      </c>
      <c r="C1114" s="66">
        <f t="shared" ca="1" si="48"/>
        <v>10.158233333333335</v>
      </c>
      <c r="D1114" s="66">
        <f t="shared" ca="1" si="48"/>
        <v>10.162775000000002</v>
      </c>
      <c r="E1114" s="66">
        <f t="shared" ca="1" si="48"/>
        <v>11.785283333333332</v>
      </c>
      <c r="F1114" s="66">
        <f t="shared" ca="1" si="48"/>
        <v>11.785283333333332</v>
      </c>
      <c r="G1114" s="66">
        <f t="shared" ca="1" si="48"/>
        <v>11.790866666666668</v>
      </c>
      <c r="H1114" s="66">
        <f t="shared" ca="1" si="48"/>
        <v>21.742450000000002</v>
      </c>
      <c r="I1114" s="66">
        <f t="shared" ca="1" si="48"/>
        <v>21.748041666666666</v>
      </c>
      <c r="J1114" s="66">
        <f t="shared" ca="1" si="48"/>
        <v>11.785283333333332</v>
      </c>
      <c r="K1114" s="66">
        <f t="shared" ca="1" si="48"/>
        <v>11.790866666666668</v>
      </c>
    </row>
    <row r="1115" spans="1:11" ht="15">
      <c r="A1115" s="3">
        <v>2067</v>
      </c>
      <c r="B1115" s="66">
        <f t="shared" ca="1" si="48"/>
        <v>10.395849999999998</v>
      </c>
      <c r="C1115" s="66">
        <f t="shared" ca="1" si="48"/>
        <v>10.395849999999998</v>
      </c>
      <c r="D1115" s="66">
        <f t="shared" ca="1" si="48"/>
        <v>10.400399999999999</v>
      </c>
      <c r="E1115" s="66">
        <f t="shared" ca="1" si="48"/>
        <v>12.042299999999999</v>
      </c>
      <c r="F1115" s="66">
        <f t="shared" ca="1" si="48"/>
        <v>12.042299999999999</v>
      </c>
      <c r="G1115" s="66">
        <f t="shared" ca="1" si="48"/>
        <v>12.047883333333331</v>
      </c>
      <c r="H1115" s="66">
        <f t="shared" ca="1" si="48"/>
        <v>22.230574999999998</v>
      </c>
      <c r="I1115" s="66">
        <f t="shared" ca="1" si="48"/>
        <v>22.236149999999999</v>
      </c>
      <c r="J1115" s="66">
        <f t="shared" ca="1" si="48"/>
        <v>12.042299999999999</v>
      </c>
      <c r="K1115" s="66">
        <f t="shared" ca="1" si="48"/>
        <v>12.047883333333331</v>
      </c>
    </row>
    <row r="1116" spans="1:11" ht="15">
      <c r="A1116" s="3">
        <v>2068</v>
      </c>
      <c r="B1116" s="66">
        <f t="shared" ca="1" si="48"/>
        <v>10.633449999999998</v>
      </c>
      <c r="C1116" s="66">
        <f t="shared" ca="1" si="48"/>
        <v>10.633449999999998</v>
      </c>
      <c r="D1116" s="66">
        <f t="shared" ca="1" si="48"/>
        <v>10.638</v>
      </c>
      <c r="E1116" s="66">
        <f t="shared" ca="1" si="48"/>
        <v>12.299291666666669</v>
      </c>
      <c r="F1116" s="66">
        <f t="shared" ca="1" si="48"/>
        <v>12.299291666666669</v>
      </c>
      <c r="G1116" s="66">
        <f t="shared" ca="1" si="48"/>
        <v>12.304916666666665</v>
      </c>
      <c r="H1116" s="66">
        <f t="shared" ca="1" si="48"/>
        <v>22.718675000000001</v>
      </c>
      <c r="I1116" s="66">
        <f t="shared" ca="1" si="48"/>
        <v>22.724266666666669</v>
      </c>
      <c r="J1116" s="66">
        <f t="shared" ca="1" si="48"/>
        <v>12.299291666666669</v>
      </c>
      <c r="K1116" s="66">
        <f t="shared" ca="1" si="48"/>
        <v>12.304916666666665</v>
      </c>
    </row>
    <row r="1117" spans="1:11" ht="15">
      <c r="A1117" s="3">
        <v>2069</v>
      </c>
      <c r="B1117" s="66">
        <f t="shared" ca="1" si="48"/>
        <v>10.871066666666664</v>
      </c>
      <c r="C1117" s="66">
        <f t="shared" ca="1" si="48"/>
        <v>10.871066666666664</v>
      </c>
      <c r="D1117" s="66">
        <f t="shared" ca="1" si="48"/>
        <v>10.875624999999999</v>
      </c>
      <c r="E1117" s="66">
        <f t="shared" ca="1" si="48"/>
        <v>12.556333333333333</v>
      </c>
      <c r="F1117" s="66">
        <f t="shared" ca="1" si="48"/>
        <v>12.556333333333333</v>
      </c>
      <c r="G1117" s="66">
        <f t="shared" ca="1" si="48"/>
        <v>12.5619</v>
      </c>
      <c r="H1117" s="66">
        <f t="shared" ca="1" si="48"/>
        <v>23.206800000000001</v>
      </c>
      <c r="I1117" s="66">
        <f t="shared" ca="1" si="48"/>
        <v>23.212375000000005</v>
      </c>
      <c r="J1117" s="66">
        <f t="shared" ca="1" si="48"/>
        <v>12.556333333333333</v>
      </c>
      <c r="K1117" s="66">
        <f t="shared" ca="1" si="48"/>
        <v>12.5619</v>
      </c>
    </row>
    <row r="1118" spans="1:11" ht="15">
      <c r="A1118" s="3">
        <v>2070</v>
      </c>
      <c r="B1118" s="66">
        <f t="shared" ca="1" si="48"/>
        <v>11.108683333333333</v>
      </c>
      <c r="C1118" s="66">
        <f t="shared" ca="1" si="48"/>
        <v>11.108683333333333</v>
      </c>
      <c r="D1118" s="66">
        <f t="shared" ca="1" si="48"/>
        <v>11.113241666666667</v>
      </c>
      <c r="E1118" s="66">
        <f t="shared" ca="1" si="48"/>
        <v>12.813333333333333</v>
      </c>
      <c r="F1118" s="66">
        <f t="shared" ca="1" si="48"/>
        <v>12.813333333333333</v>
      </c>
      <c r="G1118" s="66">
        <f t="shared" ca="1" si="48"/>
        <v>12.818916666666667</v>
      </c>
      <c r="H1118" s="66">
        <f t="shared" ca="1" si="48"/>
        <v>23.694900000000001</v>
      </c>
      <c r="I1118" s="66">
        <f t="shared" ca="1" si="48"/>
        <v>23.700491666666665</v>
      </c>
      <c r="J1118" s="66">
        <f t="shared" ca="1" si="48"/>
        <v>12.813333333333333</v>
      </c>
      <c r="K1118" s="66">
        <f t="shared" ca="1" si="48"/>
        <v>12.818916666666667</v>
      </c>
    </row>
    <row r="1119" spans="1:11" ht="15">
      <c r="A1119" s="3">
        <v>2071</v>
      </c>
      <c r="B1119" s="66">
        <f t="shared" ca="1" si="48"/>
        <v>11.346308333333333</v>
      </c>
      <c r="C1119" s="66">
        <f t="shared" ca="1" si="48"/>
        <v>11.346308333333333</v>
      </c>
      <c r="D1119" s="66">
        <f t="shared" ca="1" si="48"/>
        <v>11.350849999999999</v>
      </c>
      <c r="E1119" s="66">
        <f t="shared" ca="1" si="48"/>
        <v>13.070333333333332</v>
      </c>
      <c r="F1119" s="66">
        <f t="shared" ca="1" si="48"/>
        <v>13.070333333333332</v>
      </c>
      <c r="G1119" s="66">
        <f t="shared" ca="1" si="48"/>
        <v>13.075924999999998</v>
      </c>
      <c r="H1119" s="66">
        <f t="shared" ca="1" si="48"/>
        <v>24.183016666666663</v>
      </c>
      <c r="I1119" s="66">
        <f t="shared" ca="1" si="48"/>
        <v>24.188625000000002</v>
      </c>
      <c r="J1119" s="66">
        <f t="shared" ca="1" si="48"/>
        <v>13.070333333333332</v>
      </c>
      <c r="K1119" s="66">
        <f t="shared" ca="1" si="48"/>
        <v>13.075924999999998</v>
      </c>
    </row>
    <row r="1120" spans="1:11" ht="15">
      <c r="A1120" s="3">
        <v>2072</v>
      </c>
      <c r="B1120" s="66">
        <f t="shared" ref="B1120:K1129" ca="1" si="49">AVERAGE(OFFSET(B$593,($A1120-$A$1110)*12,0,12,1))</f>
        <v>11.583908333333333</v>
      </c>
      <c r="C1120" s="66">
        <f t="shared" ca="1" si="49"/>
        <v>11.583908333333333</v>
      </c>
      <c r="D1120" s="66">
        <f t="shared" ca="1" si="49"/>
        <v>11.588458333333335</v>
      </c>
      <c r="E1120" s="66">
        <f t="shared" ca="1" si="49"/>
        <v>13.327350000000001</v>
      </c>
      <c r="F1120" s="66">
        <f t="shared" ca="1" si="49"/>
        <v>13.327350000000001</v>
      </c>
      <c r="G1120" s="66">
        <f t="shared" ca="1" si="49"/>
        <v>13.332949999999999</v>
      </c>
      <c r="H1120" s="66">
        <f t="shared" ca="1" si="49"/>
        <v>24.67113333333333</v>
      </c>
      <c r="I1120" s="66">
        <f t="shared" ca="1" si="49"/>
        <v>24.676716666666668</v>
      </c>
      <c r="J1120" s="66">
        <f t="shared" ca="1" si="49"/>
        <v>13.327350000000001</v>
      </c>
      <c r="K1120" s="66">
        <f t="shared" ca="1" si="49"/>
        <v>13.332949999999999</v>
      </c>
    </row>
    <row r="1121" spans="1:11" ht="15">
      <c r="A1121" s="3">
        <v>2073</v>
      </c>
      <c r="B1121" s="66">
        <f t="shared" ca="1" si="49"/>
        <v>11.821525000000001</v>
      </c>
      <c r="C1121" s="66">
        <f t="shared" ca="1" si="49"/>
        <v>11.821525000000001</v>
      </c>
      <c r="D1121" s="66">
        <f t="shared" ca="1" si="49"/>
        <v>11.826083333333335</v>
      </c>
      <c r="E1121" s="66">
        <f t="shared" ca="1" si="49"/>
        <v>13.584366666666666</v>
      </c>
      <c r="F1121" s="66">
        <f t="shared" ca="1" si="49"/>
        <v>13.584366666666666</v>
      </c>
      <c r="G1121" s="66">
        <f t="shared" ca="1" si="49"/>
        <v>13.58995</v>
      </c>
      <c r="H1121" s="66">
        <f t="shared" ca="1" si="49"/>
        <v>25.159241666666663</v>
      </c>
      <c r="I1121" s="66">
        <f t="shared" ca="1" si="49"/>
        <v>25.164841666666664</v>
      </c>
      <c r="J1121" s="66">
        <f t="shared" ca="1" si="49"/>
        <v>13.584366666666666</v>
      </c>
      <c r="K1121" s="66">
        <f t="shared" ca="1" si="49"/>
        <v>13.58995</v>
      </c>
    </row>
    <row r="1122" spans="1:11" ht="15">
      <c r="A1122" s="3">
        <v>2074</v>
      </c>
      <c r="B1122" s="66">
        <f t="shared" ca="1" si="49"/>
        <v>12.059150000000001</v>
      </c>
      <c r="C1122" s="66">
        <f t="shared" ca="1" si="49"/>
        <v>12.059150000000001</v>
      </c>
      <c r="D1122" s="66">
        <f t="shared" ca="1" si="49"/>
        <v>12.063683333333332</v>
      </c>
      <c r="E1122" s="66">
        <f t="shared" ca="1" si="49"/>
        <v>13.841366666666666</v>
      </c>
      <c r="F1122" s="66">
        <f t="shared" ca="1" si="49"/>
        <v>13.841366666666666</v>
      </c>
      <c r="G1122" s="66">
        <f t="shared" ca="1" si="49"/>
        <v>13.84695</v>
      </c>
      <c r="H1122" s="66">
        <f t="shared" ca="1" si="49"/>
        <v>25.647366666666667</v>
      </c>
      <c r="I1122" s="66">
        <f t="shared" ca="1" si="49"/>
        <v>25.652950000000004</v>
      </c>
      <c r="J1122" s="66">
        <f t="shared" ca="1" si="49"/>
        <v>13.841366666666666</v>
      </c>
      <c r="K1122" s="66">
        <f t="shared" ca="1" si="49"/>
        <v>13.84695</v>
      </c>
    </row>
    <row r="1123" spans="1:11" ht="15">
      <c r="A1123" s="3">
        <v>2075</v>
      </c>
      <c r="B1123" s="66">
        <f t="shared" ca="1" si="49"/>
        <v>12.296750000000001</v>
      </c>
      <c r="C1123" s="66">
        <f t="shared" ca="1" si="49"/>
        <v>12.296750000000001</v>
      </c>
      <c r="D1123" s="66">
        <f t="shared" ca="1" si="49"/>
        <v>12.301299999999999</v>
      </c>
      <c r="E1123" s="66">
        <f t="shared" ca="1" si="49"/>
        <v>14.098391666666664</v>
      </c>
      <c r="F1123" s="66">
        <f t="shared" ca="1" si="49"/>
        <v>14.098391666666664</v>
      </c>
      <c r="G1123" s="66">
        <f t="shared" ca="1" si="49"/>
        <v>14.103974999999998</v>
      </c>
      <c r="H1123" s="66">
        <f t="shared" ca="1" si="49"/>
        <v>26.135475</v>
      </c>
      <c r="I1123" s="66">
        <f t="shared" ca="1" si="49"/>
        <v>26.141083333333331</v>
      </c>
      <c r="J1123" s="66">
        <f t="shared" ca="1" si="49"/>
        <v>14.098391666666664</v>
      </c>
      <c r="K1123" s="66">
        <f t="shared" ca="1" si="49"/>
        <v>14.103974999999998</v>
      </c>
    </row>
    <row r="1124" spans="1:11" ht="15">
      <c r="A1124" s="3">
        <v>2076</v>
      </c>
      <c r="B1124" s="66">
        <f t="shared" ca="1" si="49"/>
        <v>12.534383333333331</v>
      </c>
      <c r="C1124" s="66">
        <f t="shared" ca="1" si="49"/>
        <v>12.534383333333331</v>
      </c>
      <c r="D1124" s="66">
        <f t="shared" ca="1" si="49"/>
        <v>12.538924999999999</v>
      </c>
      <c r="E1124" s="66">
        <f t="shared" ca="1" si="49"/>
        <v>14.355391666666668</v>
      </c>
      <c r="F1124" s="66">
        <f t="shared" ca="1" si="49"/>
        <v>14.355391666666668</v>
      </c>
      <c r="G1124" s="66">
        <f t="shared" ca="1" si="49"/>
        <v>14.360966666666668</v>
      </c>
      <c r="H1124" s="66">
        <f t="shared" ca="1" si="49"/>
        <v>26.623583333333332</v>
      </c>
      <c r="I1124" s="66">
        <f t="shared" ca="1" si="49"/>
        <v>26.629199999999994</v>
      </c>
      <c r="J1124" s="66">
        <f t="shared" ca="1" si="49"/>
        <v>14.355391666666668</v>
      </c>
      <c r="K1124" s="66">
        <f t="shared" ca="1" si="49"/>
        <v>14.360966666666668</v>
      </c>
    </row>
    <row r="1125" spans="1:11" ht="15">
      <c r="A1125" s="3">
        <v>2077</v>
      </c>
      <c r="B1125" s="66">
        <f t="shared" ca="1" si="49"/>
        <v>12.771983333333333</v>
      </c>
      <c r="C1125" s="66">
        <f t="shared" ca="1" si="49"/>
        <v>12.771983333333333</v>
      </c>
      <c r="D1125" s="66">
        <f t="shared" ca="1" si="49"/>
        <v>12.776533333333335</v>
      </c>
      <c r="E1125" s="66">
        <f t="shared" ca="1" si="49"/>
        <v>14.612399999999999</v>
      </c>
      <c r="F1125" s="66">
        <f t="shared" ca="1" si="49"/>
        <v>14.612399999999999</v>
      </c>
      <c r="G1125" s="66">
        <f t="shared" ca="1" si="49"/>
        <v>14.617983333333333</v>
      </c>
      <c r="H1125" s="66">
        <f t="shared" ca="1" si="49"/>
        <v>27.111708333333329</v>
      </c>
      <c r="I1125" s="66">
        <f t="shared" ca="1" si="49"/>
        <v>27.11730833333333</v>
      </c>
      <c r="J1125" s="66">
        <f t="shared" ca="1" si="49"/>
        <v>14.612399999999999</v>
      </c>
      <c r="K1125" s="66">
        <f t="shared" ca="1" si="49"/>
        <v>14.617983333333333</v>
      </c>
    </row>
    <row r="1126" spans="1:11" ht="15">
      <c r="A1126" s="3">
        <v>2078</v>
      </c>
      <c r="B1126" s="66">
        <f t="shared" ca="1" si="49"/>
        <v>13.009583333333333</v>
      </c>
      <c r="C1126" s="66">
        <f t="shared" ca="1" si="49"/>
        <v>13.009583333333333</v>
      </c>
      <c r="D1126" s="66">
        <f t="shared" ca="1" si="49"/>
        <v>13.014149999999999</v>
      </c>
      <c r="E1126" s="66">
        <f t="shared" ca="1" si="49"/>
        <v>14.869391666666665</v>
      </c>
      <c r="F1126" s="66">
        <f t="shared" ca="1" si="49"/>
        <v>14.869391666666665</v>
      </c>
      <c r="G1126" s="66">
        <f t="shared" ca="1" si="49"/>
        <v>14.875016666666669</v>
      </c>
      <c r="H1126" s="66">
        <f t="shared" ca="1" si="49"/>
        <v>27.599816666666666</v>
      </c>
      <c r="I1126" s="66">
        <f t="shared" ca="1" si="49"/>
        <v>27.60541666666667</v>
      </c>
      <c r="J1126" s="66">
        <f t="shared" ca="1" si="49"/>
        <v>14.869391666666665</v>
      </c>
      <c r="K1126" s="66">
        <f t="shared" ca="1" si="49"/>
        <v>14.875016666666669</v>
      </c>
    </row>
    <row r="1127" spans="1:11" ht="15">
      <c r="A1127" s="3">
        <v>2079</v>
      </c>
      <c r="B1127" s="66">
        <f t="shared" ca="1" si="49"/>
        <v>13.247225000000002</v>
      </c>
      <c r="C1127" s="66">
        <f t="shared" ca="1" si="49"/>
        <v>13.247225000000002</v>
      </c>
      <c r="D1127" s="66">
        <f t="shared" ca="1" si="49"/>
        <v>13.251758333333333</v>
      </c>
      <c r="E1127" s="66">
        <f t="shared" ca="1" si="49"/>
        <v>15.126424999999999</v>
      </c>
      <c r="F1127" s="66">
        <f t="shared" ca="1" si="49"/>
        <v>15.126424999999999</v>
      </c>
      <c r="G1127" s="66">
        <f t="shared" ca="1" si="49"/>
        <v>15.132</v>
      </c>
      <c r="H1127" s="66">
        <f t="shared" ca="1" si="49"/>
        <v>28.087958333333333</v>
      </c>
      <c r="I1127" s="66">
        <f t="shared" ca="1" si="49"/>
        <v>28.093524999999996</v>
      </c>
      <c r="J1127" s="66">
        <f t="shared" ca="1" si="49"/>
        <v>15.126424999999999</v>
      </c>
      <c r="K1127" s="66">
        <f t="shared" ca="1" si="49"/>
        <v>15.132</v>
      </c>
    </row>
    <row r="1128" spans="1:11" ht="15">
      <c r="A1128" s="3">
        <v>2080</v>
      </c>
      <c r="B1128" s="66">
        <f t="shared" ca="1" si="49"/>
        <v>13.484824999999995</v>
      </c>
      <c r="C1128" s="66">
        <f t="shared" ca="1" si="49"/>
        <v>13.484824999999995</v>
      </c>
      <c r="D1128" s="66">
        <f t="shared" ca="1" si="49"/>
        <v>13.489375000000001</v>
      </c>
      <c r="E1128" s="66">
        <f t="shared" ca="1" si="49"/>
        <v>15.383441666666668</v>
      </c>
      <c r="F1128" s="66">
        <f t="shared" ca="1" si="49"/>
        <v>15.383441666666668</v>
      </c>
      <c r="G1128" s="66">
        <f t="shared" ca="1" si="49"/>
        <v>15.389024999999998</v>
      </c>
      <c r="H1128" s="66">
        <f t="shared" ca="1" si="49"/>
        <v>28.576066666666662</v>
      </c>
      <c r="I1128" s="66">
        <f t="shared" ca="1" si="49"/>
        <v>28.58165</v>
      </c>
      <c r="J1128" s="66">
        <f t="shared" ca="1" si="49"/>
        <v>15.383441666666668</v>
      </c>
      <c r="K1128" s="66">
        <f t="shared" ca="1" si="49"/>
        <v>15.389024999999998</v>
      </c>
    </row>
    <row r="1129" spans="1:11" ht="15">
      <c r="A1129" s="3">
        <v>2081</v>
      </c>
      <c r="B1129" s="66">
        <f t="shared" ca="1" si="49"/>
        <v>13.72245</v>
      </c>
      <c r="C1129" s="66">
        <f t="shared" ca="1" si="49"/>
        <v>13.72245</v>
      </c>
      <c r="D1129" s="66">
        <f t="shared" ca="1" si="49"/>
        <v>13.726991666666668</v>
      </c>
      <c r="E1129" s="66">
        <f t="shared" ca="1" si="49"/>
        <v>15.640424999999999</v>
      </c>
      <c r="F1129" s="66">
        <f t="shared" ca="1" si="49"/>
        <v>15.640424999999999</v>
      </c>
      <c r="G1129" s="66">
        <f t="shared" ca="1" si="49"/>
        <v>15.646033333333333</v>
      </c>
      <c r="H1129" s="66">
        <f t="shared" ca="1" si="49"/>
        <v>29.064166666666669</v>
      </c>
      <c r="I1129" s="66">
        <f t="shared" ca="1" si="49"/>
        <v>29.069775000000003</v>
      </c>
      <c r="J1129" s="66">
        <f t="shared" ca="1" si="49"/>
        <v>15.640424999999999</v>
      </c>
      <c r="K1129" s="66">
        <f t="shared" ca="1" si="49"/>
        <v>15.646033333333333</v>
      </c>
    </row>
    <row r="1130" spans="1:11" ht="15">
      <c r="A1130" s="3">
        <v>2082</v>
      </c>
      <c r="B1130" s="66">
        <f t="shared" ref="B1130:K1139" ca="1" si="50">AVERAGE(OFFSET(B$593,($A1130-$A$1110)*12,0,12,1))</f>
        <v>13.960058333333334</v>
      </c>
      <c r="C1130" s="66">
        <f t="shared" ca="1" si="50"/>
        <v>13.960058333333334</v>
      </c>
      <c r="D1130" s="66">
        <f t="shared" ca="1" si="50"/>
        <v>13.964599999999999</v>
      </c>
      <c r="E1130" s="66">
        <f t="shared" ca="1" si="50"/>
        <v>15.897450000000001</v>
      </c>
      <c r="F1130" s="66">
        <f t="shared" ca="1" si="50"/>
        <v>15.897450000000001</v>
      </c>
      <c r="G1130" s="66">
        <f t="shared" ca="1" si="50"/>
        <v>15.903033333333331</v>
      </c>
      <c r="H1130" s="66">
        <f t="shared" ca="1" si="50"/>
        <v>29.552291666666672</v>
      </c>
      <c r="I1130" s="66">
        <f t="shared" ca="1" si="50"/>
        <v>29.557866666666669</v>
      </c>
      <c r="J1130" s="66">
        <f t="shared" ca="1" si="50"/>
        <v>15.897450000000001</v>
      </c>
      <c r="K1130" s="66">
        <f t="shared" ca="1" si="50"/>
        <v>15.903033333333331</v>
      </c>
    </row>
    <row r="1131" spans="1:11" ht="15">
      <c r="A1131" s="3">
        <v>2083</v>
      </c>
      <c r="B1131" s="66">
        <f t="shared" ca="1" si="50"/>
        <v>14.197650000000001</v>
      </c>
      <c r="C1131" s="66">
        <f t="shared" ca="1" si="50"/>
        <v>14.197650000000001</v>
      </c>
      <c r="D1131" s="66">
        <f t="shared" ca="1" si="50"/>
        <v>14.202216666666667</v>
      </c>
      <c r="E1131" s="66">
        <f t="shared" ca="1" si="50"/>
        <v>16.154466666666668</v>
      </c>
      <c r="F1131" s="66">
        <f t="shared" ca="1" si="50"/>
        <v>16.154466666666668</v>
      </c>
      <c r="G1131" s="66">
        <f t="shared" ca="1" si="50"/>
        <v>16.160049999999995</v>
      </c>
      <c r="H1131" s="66">
        <f t="shared" ca="1" si="50"/>
        <v>30.040383333333335</v>
      </c>
      <c r="I1131" s="66">
        <f t="shared" ca="1" si="50"/>
        <v>30.045983333333329</v>
      </c>
      <c r="J1131" s="66">
        <f t="shared" ca="1" si="50"/>
        <v>16.154466666666668</v>
      </c>
      <c r="K1131" s="66">
        <f t="shared" ca="1" si="50"/>
        <v>16.160049999999995</v>
      </c>
    </row>
    <row r="1132" spans="1:11" ht="15">
      <c r="A1132" s="3">
        <v>2084</v>
      </c>
      <c r="B1132" s="66">
        <f t="shared" ca="1" si="50"/>
        <v>14.435274999999997</v>
      </c>
      <c r="C1132" s="66">
        <f t="shared" ca="1" si="50"/>
        <v>14.435274999999997</v>
      </c>
      <c r="D1132" s="66">
        <f t="shared" ca="1" si="50"/>
        <v>14.439824999999999</v>
      </c>
      <c r="E1132" s="66">
        <f t="shared" ca="1" si="50"/>
        <v>16.411466666666669</v>
      </c>
      <c r="F1132" s="66">
        <f t="shared" ca="1" si="50"/>
        <v>16.411466666666669</v>
      </c>
      <c r="G1132" s="66">
        <f t="shared" ca="1" si="50"/>
        <v>16.41705</v>
      </c>
      <c r="H1132" s="66">
        <f t="shared" ca="1" si="50"/>
        <v>30.528533333333339</v>
      </c>
      <c r="I1132" s="66">
        <f t="shared" ca="1" si="50"/>
        <v>30.534091666666665</v>
      </c>
      <c r="J1132" s="66">
        <f t="shared" ca="1" si="50"/>
        <v>16.411466666666669</v>
      </c>
      <c r="K1132" s="66">
        <f t="shared" ca="1" si="50"/>
        <v>16.41705</v>
      </c>
    </row>
    <row r="1133" spans="1:11" ht="15">
      <c r="A1133" s="3">
        <v>2085</v>
      </c>
      <c r="B1133" s="66">
        <f t="shared" ca="1" si="50"/>
        <v>14.672899999999998</v>
      </c>
      <c r="C1133" s="66">
        <f t="shared" ca="1" si="50"/>
        <v>14.672899999999998</v>
      </c>
      <c r="D1133" s="66">
        <f t="shared" ca="1" si="50"/>
        <v>14.677441666666668</v>
      </c>
      <c r="E1133" s="66">
        <f t="shared" ca="1" si="50"/>
        <v>16.668466666666667</v>
      </c>
      <c r="F1133" s="66">
        <f t="shared" ca="1" si="50"/>
        <v>16.668466666666667</v>
      </c>
      <c r="G1133" s="66">
        <f t="shared" ca="1" si="50"/>
        <v>16.674083333333336</v>
      </c>
      <c r="H1133" s="66">
        <f t="shared" ca="1" si="50"/>
        <v>31.016633333333331</v>
      </c>
      <c r="I1133" s="66">
        <f t="shared" ca="1" si="50"/>
        <v>31.022216666666665</v>
      </c>
      <c r="J1133" s="66">
        <f t="shared" ca="1" si="50"/>
        <v>16.668466666666667</v>
      </c>
      <c r="K1133" s="66">
        <f t="shared" ca="1" si="50"/>
        <v>16.674083333333336</v>
      </c>
    </row>
    <row r="1134" spans="1:11" ht="15">
      <c r="A1134" s="3">
        <v>2086</v>
      </c>
      <c r="B1134" s="66">
        <f t="shared" ca="1" si="50"/>
        <v>14.910500000000004</v>
      </c>
      <c r="C1134" s="66">
        <f t="shared" ca="1" si="50"/>
        <v>14.910500000000004</v>
      </c>
      <c r="D1134" s="66">
        <f t="shared" ca="1" si="50"/>
        <v>14.915049999999999</v>
      </c>
      <c r="E1134" s="66">
        <f t="shared" ca="1" si="50"/>
        <v>16.925483333333336</v>
      </c>
      <c r="F1134" s="66">
        <f t="shared" ca="1" si="50"/>
        <v>16.925483333333336</v>
      </c>
      <c r="G1134" s="66">
        <f t="shared" ca="1" si="50"/>
        <v>16.931083333333337</v>
      </c>
      <c r="H1134" s="66">
        <f t="shared" ca="1" si="50"/>
        <v>31.504741666666671</v>
      </c>
      <c r="I1134" s="66">
        <f t="shared" ca="1" si="50"/>
        <v>31.510333333333332</v>
      </c>
      <c r="J1134" s="66">
        <f t="shared" ca="1" si="50"/>
        <v>16.925483333333336</v>
      </c>
      <c r="K1134" s="66">
        <f t="shared" ca="1" si="50"/>
        <v>16.931083333333337</v>
      </c>
    </row>
    <row r="1135" spans="1:11" ht="15">
      <c r="A1135" s="3">
        <v>2087</v>
      </c>
      <c r="B1135" s="66">
        <f t="shared" ca="1" si="50"/>
        <v>15.148116666666667</v>
      </c>
      <c r="C1135" s="66">
        <f t="shared" ca="1" si="50"/>
        <v>15.148116666666667</v>
      </c>
      <c r="D1135" s="66">
        <f t="shared" ca="1" si="50"/>
        <v>15.152666666666667</v>
      </c>
      <c r="E1135" s="66">
        <f t="shared" ca="1" si="50"/>
        <v>17.182508333333335</v>
      </c>
      <c r="F1135" s="66">
        <f t="shared" ca="1" si="50"/>
        <v>17.182508333333335</v>
      </c>
      <c r="G1135" s="66">
        <f t="shared" ca="1" si="50"/>
        <v>17.188091666666665</v>
      </c>
      <c r="H1135" s="66">
        <f t="shared" ca="1" si="50"/>
        <v>31.992850000000004</v>
      </c>
      <c r="I1135" s="66">
        <f t="shared" ca="1" si="50"/>
        <v>31.998458333333332</v>
      </c>
      <c r="J1135" s="66">
        <f t="shared" ca="1" si="50"/>
        <v>17.182508333333335</v>
      </c>
      <c r="K1135" s="66">
        <f t="shared" ca="1" si="50"/>
        <v>17.188091666666665</v>
      </c>
    </row>
    <row r="1136" spans="1:11" ht="15">
      <c r="A1136" s="3">
        <v>2088</v>
      </c>
      <c r="B1136" s="66">
        <f t="shared" ca="1" si="50"/>
        <v>15.385741666666663</v>
      </c>
      <c r="C1136" s="66">
        <f t="shared" ca="1" si="50"/>
        <v>15.385741666666663</v>
      </c>
      <c r="D1136" s="66">
        <f t="shared" ca="1" si="50"/>
        <v>15.390291666666664</v>
      </c>
      <c r="E1136" s="66">
        <f t="shared" ca="1" si="50"/>
        <v>17.439516666666666</v>
      </c>
      <c r="F1136" s="66">
        <f t="shared" ca="1" si="50"/>
        <v>17.439516666666666</v>
      </c>
      <c r="G1136" s="66">
        <f t="shared" ca="1" si="50"/>
        <v>17.445108333333334</v>
      </c>
      <c r="H1136" s="66">
        <f t="shared" ca="1" si="50"/>
        <v>32.480991666666675</v>
      </c>
      <c r="I1136" s="66">
        <f t="shared" ca="1" si="50"/>
        <v>32.486558333333335</v>
      </c>
      <c r="J1136" s="66">
        <f t="shared" ca="1" si="50"/>
        <v>17.439516666666666</v>
      </c>
      <c r="K1136" s="66">
        <f t="shared" ca="1" si="50"/>
        <v>17.445108333333334</v>
      </c>
    </row>
    <row r="1137" spans="1:11" ht="15">
      <c r="A1137" s="3">
        <v>2089</v>
      </c>
      <c r="B1137" s="66">
        <f t="shared" ca="1" si="50"/>
        <v>15.623341666666667</v>
      </c>
      <c r="C1137" s="66">
        <f t="shared" ca="1" si="50"/>
        <v>15.623341666666667</v>
      </c>
      <c r="D1137" s="66">
        <f t="shared" ca="1" si="50"/>
        <v>15.627875000000003</v>
      </c>
      <c r="E1137" s="66">
        <f t="shared" ca="1" si="50"/>
        <v>17.696524999999998</v>
      </c>
      <c r="F1137" s="66">
        <f t="shared" ca="1" si="50"/>
        <v>17.696524999999998</v>
      </c>
      <c r="G1137" s="66">
        <f t="shared" ca="1" si="50"/>
        <v>17.702108333333335</v>
      </c>
      <c r="H1137" s="66">
        <f t="shared" ca="1" si="50"/>
        <v>32.969091666666664</v>
      </c>
      <c r="I1137" s="66">
        <f t="shared" ca="1" si="50"/>
        <v>32.974674999999998</v>
      </c>
      <c r="J1137" s="66">
        <f t="shared" ca="1" si="50"/>
        <v>17.696524999999998</v>
      </c>
      <c r="K1137" s="66">
        <f t="shared" ca="1" si="50"/>
        <v>17.702108333333335</v>
      </c>
    </row>
    <row r="1138" spans="1:11" ht="15">
      <c r="A1138" s="3">
        <v>2090</v>
      </c>
      <c r="B1138" s="66">
        <f t="shared" ca="1" si="50"/>
        <v>15.860966666666668</v>
      </c>
      <c r="C1138" s="66">
        <f t="shared" ca="1" si="50"/>
        <v>15.860966666666668</v>
      </c>
      <c r="D1138" s="66">
        <f t="shared" ca="1" si="50"/>
        <v>15.865516666666664</v>
      </c>
      <c r="E1138" s="66">
        <f t="shared" ca="1" si="50"/>
        <v>17.953533333333333</v>
      </c>
      <c r="F1138" s="66">
        <f t="shared" ca="1" si="50"/>
        <v>17.953533333333333</v>
      </c>
      <c r="G1138" s="66">
        <f t="shared" ca="1" si="50"/>
        <v>17.959108333333333</v>
      </c>
      <c r="H1138" s="66">
        <f t="shared" ca="1" si="50"/>
        <v>33.4572</v>
      </c>
      <c r="I1138" s="66">
        <f t="shared" ca="1" si="50"/>
        <v>33.462791666666668</v>
      </c>
      <c r="J1138" s="66">
        <f t="shared" ca="1" si="50"/>
        <v>17.953533333333333</v>
      </c>
      <c r="K1138" s="66">
        <f t="shared" ca="1" si="50"/>
        <v>17.959108333333333</v>
      </c>
    </row>
    <row r="1139" spans="1:11" ht="15">
      <c r="A1139" s="3">
        <v>2091</v>
      </c>
      <c r="B1139" s="66">
        <f t="shared" ca="1" si="50"/>
        <v>16.098591666666668</v>
      </c>
      <c r="C1139" s="66">
        <f t="shared" ca="1" si="50"/>
        <v>16.098591666666668</v>
      </c>
      <c r="D1139" s="66">
        <f t="shared" ca="1" si="50"/>
        <v>16.103125000000002</v>
      </c>
      <c r="E1139" s="66">
        <f t="shared" ca="1" si="50"/>
        <v>18.210533333333338</v>
      </c>
      <c r="F1139" s="66">
        <f t="shared" ca="1" si="50"/>
        <v>18.210533333333338</v>
      </c>
      <c r="G1139" s="66">
        <f t="shared" ca="1" si="50"/>
        <v>18.216141666666665</v>
      </c>
      <c r="H1139" s="66">
        <f t="shared" ca="1" si="50"/>
        <v>33.94530833333333</v>
      </c>
      <c r="I1139" s="66">
        <f t="shared" ca="1" si="50"/>
        <v>33.950916666666664</v>
      </c>
      <c r="J1139" s="66">
        <f t="shared" ca="1" si="50"/>
        <v>18.210533333333338</v>
      </c>
      <c r="K1139" s="66">
        <f t="shared" ca="1" si="50"/>
        <v>18.216141666666665</v>
      </c>
    </row>
    <row r="1140" spans="1:11" ht="15">
      <c r="A1140" s="3">
        <v>2092</v>
      </c>
      <c r="B1140" s="66">
        <f t="shared" ref="B1140:K1148" ca="1" si="51">AVERAGE(OFFSET(B$593,($A1140-$A$1110)*12,0,12,1))</f>
        <v>16.336183333333331</v>
      </c>
      <c r="C1140" s="66">
        <f t="shared" ca="1" si="51"/>
        <v>16.336183333333331</v>
      </c>
      <c r="D1140" s="66">
        <f t="shared" ca="1" si="51"/>
        <v>16.340733333333336</v>
      </c>
      <c r="E1140" s="66">
        <f t="shared" ca="1" si="51"/>
        <v>18.467549999999999</v>
      </c>
      <c r="F1140" s="66">
        <f t="shared" ca="1" si="51"/>
        <v>18.467549999999999</v>
      </c>
      <c r="G1140" s="66">
        <f t="shared" ca="1" si="51"/>
        <v>18.473141666666667</v>
      </c>
      <c r="H1140" s="66">
        <f t="shared" ca="1" si="51"/>
        <v>34.433433333333333</v>
      </c>
      <c r="I1140" s="66">
        <f t="shared" ca="1" si="51"/>
        <v>34.439008333333341</v>
      </c>
      <c r="J1140" s="66">
        <f t="shared" ca="1" si="51"/>
        <v>18.467549999999999</v>
      </c>
      <c r="K1140" s="66">
        <f t="shared" ca="1" si="51"/>
        <v>18.473141666666667</v>
      </c>
    </row>
    <row r="1141" spans="1:11" ht="15">
      <c r="A1141" s="3">
        <v>2093</v>
      </c>
      <c r="B1141" s="66">
        <f t="shared" ca="1" si="51"/>
        <v>16.573799999999999</v>
      </c>
      <c r="C1141" s="66">
        <f t="shared" ca="1" si="51"/>
        <v>16.573799999999999</v>
      </c>
      <c r="D1141" s="66">
        <f t="shared" ca="1" si="51"/>
        <v>16.578358333333338</v>
      </c>
      <c r="E1141" s="66">
        <f t="shared" ca="1" si="51"/>
        <v>18.724558333333331</v>
      </c>
      <c r="F1141" s="66">
        <f t="shared" ca="1" si="51"/>
        <v>18.724558333333331</v>
      </c>
      <c r="G1141" s="66">
        <f t="shared" ca="1" si="51"/>
        <v>18.730158333333335</v>
      </c>
      <c r="H1141" s="66">
        <f t="shared" ca="1" si="51"/>
        <v>34.921533333333336</v>
      </c>
      <c r="I1141" s="66">
        <f t="shared" ca="1" si="51"/>
        <v>34.927133333333337</v>
      </c>
      <c r="J1141" s="66">
        <f t="shared" ca="1" si="51"/>
        <v>18.724558333333331</v>
      </c>
      <c r="K1141" s="66">
        <f t="shared" ca="1" si="51"/>
        <v>18.730158333333335</v>
      </c>
    </row>
    <row r="1142" spans="1:11" ht="15">
      <c r="A1142" s="3">
        <v>2094</v>
      </c>
      <c r="B1142" s="66">
        <f t="shared" ca="1" si="51"/>
        <v>16.81141666666667</v>
      </c>
      <c r="C1142" s="66">
        <f t="shared" ca="1" si="51"/>
        <v>16.81141666666667</v>
      </c>
      <c r="D1142" s="66">
        <f t="shared" ca="1" si="51"/>
        <v>16.815958333333331</v>
      </c>
      <c r="E1142" s="66">
        <f t="shared" ca="1" si="51"/>
        <v>18.981583333333333</v>
      </c>
      <c r="F1142" s="66">
        <f t="shared" ca="1" si="51"/>
        <v>18.981583333333333</v>
      </c>
      <c r="G1142" s="66">
        <f t="shared" ca="1" si="51"/>
        <v>18.98715</v>
      </c>
      <c r="H1142" s="66">
        <f t="shared" ca="1" si="51"/>
        <v>35.409675</v>
      </c>
      <c r="I1142" s="66">
        <f t="shared" ca="1" si="51"/>
        <v>35.415258333333334</v>
      </c>
      <c r="J1142" s="66">
        <f t="shared" ca="1" si="51"/>
        <v>18.981583333333333</v>
      </c>
      <c r="K1142" s="66">
        <f t="shared" ca="1" si="51"/>
        <v>18.98715</v>
      </c>
    </row>
    <row r="1143" spans="1:11" ht="15">
      <c r="A1143" s="3">
        <v>2095</v>
      </c>
      <c r="B1143" s="66">
        <f t="shared" ca="1" si="51"/>
        <v>17.049025</v>
      </c>
      <c r="C1143" s="66">
        <f t="shared" ca="1" si="51"/>
        <v>17.049025</v>
      </c>
      <c r="D1143" s="66">
        <f t="shared" ca="1" si="51"/>
        <v>17.053583333333332</v>
      </c>
      <c r="E1143" s="66">
        <f t="shared" ca="1" si="51"/>
        <v>19.238591666666668</v>
      </c>
      <c r="F1143" s="66">
        <f t="shared" ca="1" si="51"/>
        <v>19.238591666666668</v>
      </c>
      <c r="G1143" s="66">
        <f t="shared" ca="1" si="51"/>
        <v>19.244158333333331</v>
      </c>
      <c r="H1143" s="66">
        <f t="shared" ca="1" si="51"/>
        <v>35.897775000000003</v>
      </c>
      <c r="I1143" s="66">
        <f t="shared" ca="1" si="51"/>
        <v>35.903366666666663</v>
      </c>
      <c r="J1143" s="66">
        <f t="shared" ca="1" si="51"/>
        <v>19.238591666666668</v>
      </c>
      <c r="K1143" s="66">
        <f t="shared" ca="1" si="51"/>
        <v>19.244158333333331</v>
      </c>
    </row>
    <row r="1144" spans="1:11" ht="15">
      <c r="A1144" s="3">
        <v>2096</v>
      </c>
      <c r="B1144" s="66">
        <f t="shared" ca="1" si="51"/>
        <v>17.286658333333332</v>
      </c>
      <c r="C1144" s="66">
        <f t="shared" ca="1" si="51"/>
        <v>17.286658333333332</v>
      </c>
      <c r="D1144" s="66">
        <f t="shared" ca="1" si="51"/>
        <v>17.291191666666666</v>
      </c>
      <c r="E1144" s="66">
        <f t="shared" ca="1" si="51"/>
        <v>19.49559166666667</v>
      </c>
      <c r="F1144" s="66">
        <f t="shared" ca="1" si="51"/>
        <v>19.49559166666667</v>
      </c>
      <c r="G1144" s="66">
        <f t="shared" ca="1" si="51"/>
        <v>19.501183333333334</v>
      </c>
      <c r="H1144" s="66">
        <f t="shared" ca="1" si="51"/>
        <v>36.385874999999999</v>
      </c>
      <c r="I1144" s="66">
        <f t="shared" ca="1" si="51"/>
        <v>36.391491666666674</v>
      </c>
      <c r="J1144" s="66">
        <f t="shared" ca="1" si="51"/>
        <v>19.49559166666667</v>
      </c>
      <c r="K1144" s="66">
        <f t="shared" ca="1" si="51"/>
        <v>19.501183333333334</v>
      </c>
    </row>
    <row r="1145" spans="1:11" ht="15">
      <c r="A1145" s="3">
        <v>2097</v>
      </c>
      <c r="B1145" s="66">
        <f t="shared" ca="1" si="51"/>
        <v>17.524258333333332</v>
      </c>
      <c r="C1145" s="66">
        <f t="shared" ca="1" si="51"/>
        <v>17.524258333333332</v>
      </c>
      <c r="D1145" s="66">
        <f t="shared" ca="1" si="51"/>
        <v>17.528816666666668</v>
      </c>
      <c r="E1145" s="66">
        <f t="shared" ca="1" si="51"/>
        <v>19.752591666666664</v>
      </c>
      <c r="F1145" s="66">
        <f t="shared" ca="1" si="51"/>
        <v>19.752591666666664</v>
      </c>
      <c r="G1145" s="66">
        <f t="shared" ca="1" si="51"/>
        <v>19.758191666666669</v>
      </c>
      <c r="H1145" s="66">
        <f t="shared" ca="1" si="51"/>
        <v>36.873983333333335</v>
      </c>
      <c r="I1145" s="66">
        <f t="shared" ca="1" si="51"/>
        <v>36.879599999999996</v>
      </c>
      <c r="J1145" s="66">
        <f t="shared" ca="1" si="51"/>
        <v>19.752591666666664</v>
      </c>
      <c r="K1145" s="66">
        <f t="shared" ca="1" si="51"/>
        <v>19.758191666666669</v>
      </c>
    </row>
    <row r="1146" spans="1:11" ht="15">
      <c r="A1146" s="3">
        <v>2098</v>
      </c>
      <c r="B1146" s="66">
        <f t="shared" ca="1" si="51"/>
        <v>17.761866666666666</v>
      </c>
      <c r="C1146" s="66">
        <f t="shared" ca="1" si="51"/>
        <v>17.761866666666666</v>
      </c>
      <c r="D1146" s="66">
        <f t="shared" ca="1" si="51"/>
        <v>17.766424999999998</v>
      </c>
      <c r="E1146" s="66">
        <f t="shared" ca="1" si="51"/>
        <v>20.009608333333329</v>
      </c>
      <c r="F1146" s="66">
        <f t="shared" ca="1" si="51"/>
        <v>20.009608333333329</v>
      </c>
      <c r="G1146" s="66">
        <f t="shared" ca="1" si="51"/>
        <v>20.015199999999997</v>
      </c>
      <c r="H1146" s="66">
        <f t="shared" ca="1" si="51"/>
        <v>37.362124999999999</v>
      </c>
      <c r="I1146" s="66">
        <f t="shared" ca="1" si="51"/>
        <v>37.367708333333333</v>
      </c>
      <c r="J1146" s="66">
        <f t="shared" ca="1" si="51"/>
        <v>20.009608333333329</v>
      </c>
      <c r="K1146" s="66">
        <f t="shared" ca="1" si="51"/>
        <v>20.015199999999997</v>
      </c>
    </row>
    <row r="1147" spans="1:11" ht="15">
      <c r="A1147" s="3">
        <v>2099</v>
      </c>
      <c r="B1147" s="66">
        <f t="shared" ca="1" si="51"/>
        <v>17.999491666666668</v>
      </c>
      <c r="C1147" s="66">
        <f t="shared" ca="1" si="51"/>
        <v>17.999491666666668</v>
      </c>
      <c r="D1147" s="66">
        <f t="shared" ca="1" si="51"/>
        <v>18.004033333333332</v>
      </c>
      <c r="E1147" s="66">
        <f t="shared" ca="1" si="51"/>
        <v>20.266633333333331</v>
      </c>
      <c r="F1147" s="66">
        <f t="shared" ca="1" si="51"/>
        <v>20.266633333333331</v>
      </c>
      <c r="G1147" s="66">
        <f t="shared" ca="1" si="51"/>
        <v>20.272199999999998</v>
      </c>
      <c r="H1147" s="66">
        <f t="shared" ca="1" si="51"/>
        <v>37.850241666666655</v>
      </c>
      <c r="I1147" s="66">
        <f t="shared" ca="1" si="51"/>
        <v>37.855816666666662</v>
      </c>
      <c r="J1147" s="66">
        <f t="shared" ca="1" si="51"/>
        <v>20.266633333333331</v>
      </c>
      <c r="K1147" s="66">
        <f t="shared" ca="1" si="51"/>
        <v>20.272199999999998</v>
      </c>
    </row>
    <row r="1148" spans="1:11" ht="15">
      <c r="A1148" s="3">
        <v>2100</v>
      </c>
      <c r="B1148" s="66">
        <f t="shared" ca="1" si="51"/>
        <v>18.237108333333328</v>
      </c>
      <c r="C1148" s="66">
        <f t="shared" ca="1" si="51"/>
        <v>18.237108333333328</v>
      </c>
      <c r="D1148" s="66">
        <f t="shared" ca="1" si="51"/>
        <v>18.241650000000003</v>
      </c>
      <c r="E1148" s="66">
        <f t="shared" ca="1" si="51"/>
        <v>20.523624999999999</v>
      </c>
      <c r="F1148" s="66">
        <f t="shared" ca="1" si="51"/>
        <v>20.523624999999999</v>
      </c>
      <c r="G1148" s="66">
        <f t="shared" ca="1" si="51"/>
        <v>20.529216666666667</v>
      </c>
      <c r="H1148" s="66">
        <f t="shared" ca="1" si="51"/>
        <v>38.338341666666672</v>
      </c>
      <c r="I1148" s="66">
        <f t="shared" ca="1" si="51"/>
        <v>38.343950000000007</v>
      </c>
      <c r="J1148" s="66">
        <f t="shared" ca="1" si="51"/>
        <v>20.523624999999999</v>
      </c>
      <c r="K1148" s="66">
        <f t="shared" ca="1" si="51"/>
        <v>20.529216666666667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8"/>
  <sheetViews>
    <sheetView showGridLines="0" workbookViewId="0">
      <selection activeCell="A5" sqref="A5"/>
    </sheetView>
  </sheetViews>
  <sheetFormatPr defaultColWidth="8.88671875" defaultRowHeight="15.75"/>
  <cols>
    <col min="1" max="1" width="8.88671875" style="79"/>
    <col min="2" max="2" width="15.5546875" style="79" bestFit="1" customWidth="1"/>
    <col min="3" max="3" width="9.5546875" style="79" bestFit="1" customWidth="1"/>
    <col min="4" max="16384" width="8.88671875" style="79"/>
  </cols>
  <sheetData>
    <row r="1" spans="1:3">
      <c r="A1" s="87" t="s">
        <v>64</v>
      </c>
    </row>
    <row r="2" spans="1:3">
      <c r="A2" s="87" t="s">
        <v>65</v>
      </c>
    </row>
    <row r="3" spans="1:3">
      <c r="A3" s="87" t="s">
        <v>66</v>
      </c>
    </row>
    <row r="4" spans="1:3">
      <c r="A4" s="87" t="s">
        <v>67</v>
      </c>
    </row>
    <row r="5" spans="1:3">
      <c r="A5" s="87" t="s">
        <v>73</v>
      </c>
    </row>
    <row r="6" spans="1:3">
      <c r="A6" s="87" t="s">
        <v>69</v>
      </c>
    </row>
    <row r="9" spans="1:3">
      <c r="B9" s="84" t="s">
        <v>63</v>
      </c>
      <c r="C9" s="84" t="s">
        <v>54</v>
      </c>
    </row>
    <row r="10" spans="1:3">
      <c r="B10" s="86" t="s">
        <v>61</v>
      </c>
      <c r="C10" s="96">
        <v>2</v>
      </c>
    </row>
    <row r="11" spans="1:3">
      <c r="B11" s="86" t="s">
        <v>60</v>
      </c>
      <c r="C11" s="98"/>
    </row>
    <row r="12" spans="1:3">
      <c r="B12" s="85" t="s">
        <v>59</v>
      </c>
      <c r="C12" s="97"/>
    </row>
    <row r="15" spans="1:3">
      <c r="B15" s="84" t="s">
        <v>55</v>
      </c>
      <c r="C15" s="84" t="s">
        <v>54</v>
      </c>
    </row>
    <row r="16" spans="1:3">
      <c r="B16" s="86" t="s">
        <v>61</v>
      </c>
      <c r="C16" s="96">
        <v>2</v>
      </c>
    </row>
    <row r="17" spans="2:3">
      <c r="B17" s="86" t="s">
        <v>60</v>
      </c>
      <c r="C17" s="98"/>
    </row>
    <row r="18" spans="2:3">
      <c r="B18" s="85" t="s">
        <v>59</v>
      </c>
      <c r="C18" s="97"/>
    </row>
    <row r="22" spans="2:3">
      <c r="B22" s="84" t="s">
        <v>62</v>
      </c>
      <c r="C22" s="84" t="s">
        <v>54</v>
      </c>
    </row>
    <row r="23" spans="2:3">
      <c r="B23" s="86" t="s">
        <v>61</v>
      </c>
      <c r="C23" s="96">
        <v>2</v>
      </c>
    </row>
    <row r="24" spans="2:3">
      <c r="B24" s="86" t="s">
        <v>60</v>
      </c>
      <c r="C24" s="98"/>
    </row>
    <row r="25" spans="2:3">
      <c r="B25" s="85" t="s">
        <v>59</v>
      </c>
      <c r="C25" s="97"/>
    </row>
    <row r="28" spans="2:3">
      <c r="B28" s="84" t="s">
        <v>58</v>
      </c>
      <c r="C28" s="84" t="s">
        <v>54</v>
      </c>
    </row>
    <row r="29" spans="2:3">
      <c r="B29" s="83" t="s">
        <v>57</v>
      </c>
      <c r="C29" s="96">
        <v>1</v>
      </c>
    </row>
    <row r="30" spans="2:3">
      <c r="B30" s="82" t="s">
        <v>56</v>
      </c>
      <c r="C30" s="97"/>
    </row>
    <row r="32" spans="2:3">
      <c r="B32" s="84" t="s">
        <v>55</v>
      </c>
      <c r="C32" s="84" t="s">
        <v>54</v>
      </c>
    </row>
    <row r="33" spans="2:5">
      <c r="B33" s="83" t="s">
        <v>53</v>
      </c>
      <c r="C33" s="96">
        <v>1</v>
      </c>
    </row>
    <row r="34" spans="2:5">
      <c r="B34" s="82" t="s">
        <v>52</v>
      </c>
      <c r="C34" s="97"/>
    </row>
    <row r="38" spans="2:5">
      <c r="C38" s="81"/>
      <c r="E38" s="80"/>
    </row>
  </sheetData>
  <mergeCells count="5">
    <mergeCell ref="C33:C34"/>
    <mergeCell ref="C23:C25"/>
    <mergeCell ref="C29:C30"/>
    <mergeCell ref="C10:C12"/>
    <mergeCell ref="C16:C18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2016-07-29T14:08:05Z</dcterms:created>
  <dcterms:modified xsi:type="dcterms:W3CDTF">2016-07-29T14:08:09Z</dcterms:modified>
</cp:coreProperties>
</file>